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0.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drawings/drawing21.xml" ContentType="application/vnd.openxmlformats-officedocument.drawing+xml"/>
  <Override PartName="/xl/worksheets/sheet5.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drawings/drawing19.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6.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6"/>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2\maio\"/>
    </mc:Choice>
  </mc:AlternateContent>
  <xr:revisionPtr revIDLastSave="0" documentId="8_{DDB47519-66DD-4C07-B274-9A6CA44669C0}" xr6:coauthVersionLast="36" xr6:coauthVersionMax="36" xr10:uidLastSave="{00000000-0000-0000-0000-000000000000}"/>
  <bookViews>
    <workbookView xWindow="0" yWindow="0" windowWidth="28800" windowHeight="10560" tabRatio="874" xr2:uid="{00000000-000D-0000-FFFF-FFFF00000000}"/>
  </bookViews>
  <sheets>
    <sheet name="Capa EN" sheetId="2"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2" r:id="rId26"/>
    <sheet name="23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AC+SS'!$C$55:$E$85</definedName>
    <definedName name="_FilterDatabase" localSheetId="25" hidden="1">'22 - Util. Cond. Dot. Orç'!$I$7:$M$184</definedName>
    <definedName name="_FilterDatabase" localSheetId="26" hidden="1">'23 - Lista Entidades AC 2022'!$C$4:$C$507</definedName>
    <definedName name="_FilterDatabase" localSheetId="5" hidden="1">'Síntese Global'!#REF!</definedName>
    <definedName name="_xlnm.Print_Area" localSheetId="2">'1 - Saldo Global Rec Desp'!$A$1:$P$20</definedName>
    <definedName name="_xlnm.Print_Area" localSheetId="13">'10 - EPR'!$A$1:$I$89</definedName>
    <definedName name="_xlnm.Print_Area" localSheetId="14">'11 - CGA'!$A$1:$I$56</definedName>
    <definedName name="_xlnm.Print_Area" localSheetId="15">'12 - SS'!$A$1:$I$82</definedName>
    <definedName name="_xlnm.Print_Area" localSheetId="16">'13 - SS Eco'!$A$1:$I$77</definedName>
    <definedName name="_xlnm.Print_Area" localSheetId="17">'14 - Adm R'!$A$1:$N$75</definedName>
    <definedName name="_xlnm.Print_Area" localSheetId="18">'15 - Adm Loc'!$A$1:$H$92</definedName>
    <definedName name="_xlnm.Print_Area" localSheetId="19">'16 - Despesa Ativos '!$A$1:$J$32</definedName>
    <definedName name="_xlnm.Print_Area" localSheetId="20">'17 - SNS exec fin'!$A$1:$I$43</definedName>
    <definedName name="_xlnm.Print_Area" localSheetId="21">'18 - Dív não Fin'!$A$1:$S$63</definedName>
    <definedName name="_xlnm.Print_Area" localSheetId="22">'19 - CGA Ind'!$A$1:$Q$598</definedName>
    <definedName name="_xlnm.Print_Area" localSheetId="3">'2 - Conta Consol AP'!$A$1:$Q$118</definedName>
    <definedName name="_xlnm.Print_Area" localSheetId="4">'2.A Conta Consol AP - texto'!$A$1:$K$48</definedName>
    <definedName name="_xlnm.Print_Area" localSheetId="23">'20 - Ef Temp AC+SS'!$A$1:$AI$95</definedName>
    <definedName name="_xlnm.Print_Area" localSheetId="24">'21 - Estimativas'!$A$1:$I$51</definedName>
    <definedName name="_xlnm.Print_Area" localSheetId="25">'22 - Util. Cond. Dot. Orç'!$A$1:$G$223</definedName>
    <definedName name="_xlnm.Print_Area" localSheetId="26">'23 - Lista Entidades AC 2022'!$A$1:$D$519</definedName>
    <definedName name="_xlnm.Print_Area" localSheetId="6">'3 - Medidas COVID-19 AP'!$A$1:$F$73</definedName>
    <definedName name="_xlnm.Print_Area" localSheetId="7">'4 - Medidas COVID-19 Subsetores'!$A$1:$J$94</definedName>
    <definedName name="_xlnm.Print_Area" localSheetId="8">'5 - Conta AC + SS'!$A$1:$I$66</definedName>
    <definedName name="_xlnm.Print_Area" localSheetId="9">'6 - Conta AC'!$A$1:$I$63</definedName>
    <definedName name="_xlnm.Print_Area" localSheetId="10">'7 - Estado'!$A$1:$I$78</definedName>
    <definedName name="_xlnm.Print_Area" localSheetId="11">'8 - R_Est'!$A$1:$I$74</definedName>
    <definedName name="_xlnm.Print_Area" localSheetId="12">'9 - SFA'!$A$1:$I$89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EPR'!$B$2:$I$88</definedName>
    <definedName name="Print_Area" localSheetId="14">'11 - CGA'!$B$2:$H$56</definedName>
    <definedName name="Print_Area" localSheetId="15">'12 - SS'!$B$2:$H$81</definedName>
    <definedName name="Print_Area" localSheetId="16">'13 - SS Eco'!$B$2:$H$75</definedName>
    <definedName name="Print_Area" localSheetId="17">'14 - Adm R'!$B$2:$M$74</definedName>
    <definedName name="Print_Area" localSheetId="18">'15 - Adm Loc'!$B$2:$G$91</definedName>
    <definedName name="Print_Area" localSheetId="19">'16 - Despesa Ativos '!$B$2:$I$31</definedName>
    <definedName name="Print_Area" localSheetId="20">'17 - SNS exec fin'!$B$2:$H$42</definedName>
    <definedName name="Print_Area" localSheetId="21">'18 - Dív não Fin'!$B$2:$R$59</definedName>
    <definedName name="Print_Area" localSheetId="22">'19 - CGA Ind'!$B$2:$P$598</definedName>
    <definedName name="Print_Area" localSheetId="3">'2 - Conta Consol AP'!$B$2:$Q$117</definedName>
    <definedName name="Print_Area" localSheetId="4">'2.A Conta Consol AP - texto'!$B$2:$J$47</definedName>
    <definedName name="Print_Area" localSheetId="23">'20 - Ef Temp AC+SS'!$B$2:$AH$94</definedName>
    <definedName name="Print_Area" localSheetId="24">'21 - Estimativas'!$B$2:$G$51</definedName>
    <definedName name="Print_Area" localSheetId="25">'22 - Util. Cond. Dot. Orç'!$B$2:$G$227</definedName>
    <definedName name="Print_Area" localSheetId="26">'23 - Lista Entidades AC 2022'!$A$1:$D$519</definedName>
    <definedName name="Print_Area" localSheetId="6">'3 - Medidas COVID-19 AP'!$A$2:$E$73</definedName>
    <definedName name="Print_Area" localSheetId="7">'4 - Medidas COVID-19 Subsetores'!$B$2:$I$93</definedName>
    <definedName name="Print_Area" localSheetId="8">'5 - Conta AC + SS'!$B$2:$H$66</definedName>
    <definedName name="Print_Area" localSheetId="9">'6 - Conta AC'!$B$2:$H$61</definedName>
    <definedName name="Print_Area" localSheetId="10">'7 - Estado'!$B$2:$H$78</definedName>
    <definedName name="Print_Area" localSheetId="11">'8 - R_Est'!$B$2:$H$74</definedName>
    <definedName name="Print_Area" localSheetId="12">'9 - SFA'!$B$2:$I$88</definedName>
    <definedName name="Print_Area" localSheetId="0">'Capa EN'!$A$1:$L$54,'Capa EN'!$A$57:$L$111</definedName>
    <definedName name="Print_Area" localSheetId="1">Indice_index!$B$3:$G$27</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5">'22 - Util. Cond. Dot. Orç'!$2:$7</definedName>
    <definedName name="Print_Titles" localSheetId="26">'23 -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'23 -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EPR'!$C$2:$H$88</definedName>
    <definedName name="Z_0011D0C0_6BC7_4DE9_8F83_86F2D0A38DF4_.wvu.PrintArea" localSheetId="14" hidden="1">'11 - CGA'!$B$2:$H$52</definedName>
    <definedName name="Z_0011D0C0_6BC7_4DE9_8F83_86F2D0A38DF4_.wvu.PrintArea" localSheetId="15" hidden="1">'12 - SS'!$B$2:$F$74</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fin'!$B$2:$E$46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SS'!$B$1:$H$66</definedName>
    <definedName name="Z_0011D0C0_6BC7_4DE9_8F83_86F2D0A38DF4_.wvu.PrintArea" localSheetId="10" hidden="1">'7 - Estado'!$C$2:$C$73</definedName>
    <definedName name="Z_0011D0C0_6BC7_4DE9_8F83_86F2D0A38DF4_.wvu.PrintArea" localSheetId="11" hidden="1">'8 - R_Est'!$B$2:$H$74</definedName>
    <definedName name="Z_0011D0C0_6BC7_4DE9_8F83_86F2D0A38DF4_.wvu.PrintArea" localSheetId="12" hidden="1">'9 - SFA'!$C$2:$H$87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EPR'!$B$2:$H$88</definedName>
    <definedName name="Z_0C0AE94C_28F1_4FD2_A8FE_F417DD17C0C4_.wvu.PrintArea" localSheetId="14" hidden="1">'11 - CGA'!$B$2:$H$52</definedName>
    <definedName name="Z_0C0AE94C_28F1_4FD2_A8FE_F417DD17C0C4_.wvu.PrintArea" localSheetId="15" hidden="1">'12 - SS'!$B$2:$F$74</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fin'!$B$2:$E$46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SS'!$B$2:$H$66</definedName>
    <definedName name="Z_0C0AE94C_28F1_4FD2_A8FE_F417DD17C0C4_.wvu.PrintArea" localSheetId="10" hidden="1">'7 - Estado'!$B$2:$C$73</definedName>
    <definedName name="Z_0C0AE94C_28F1_4FD2_A8FE_F417DD17C0C4_.wvu.PrintArea" localSheetId="11" hidden="1">'8 - R_Est'!$B$2:$H$74</definedName>
    <definedName name="Z_0C0AE94C_28F1_4FD2_A8FE_F417DD17C0C4_.wvu.PrintArea" localSheetId="12" hidden="1">'9 - SFA'!$B$2:$H$95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AC'!$B$1:$F$57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AC'!$B$1:$F$57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AC'!$B$1:$F$57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EPR'!$C$2:$H$88</definedName>
    <definedName name="Z_2EA2D52B_13B2_48C6_A647_E974628AB287_.wvu.PrintArea" localSheetId="14" hidden="1">'11 - CGA'!$B$2:$H$52</definedName>
    <definedName name="Z_2EA2D52B_13B2_48C6_A647_E974628AB287_.wvu.PrintArea" localSheetId="15" hidden="1">'12 - SS'!$B$2:$F$74</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fin'!$B$2:$E$46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R_Est'!$B$2:$H$72</definedName>
    <definedName name="Z_2EA2D52B_13B2_48C6_A647_E974628AB287_.wvu.PrintArea" localSheetId="12" hidden="1">'9 - SFA'!$C$2:$H$96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CGA'!$C$3:$G$51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EPR'!$C$2:$H$88</definedName>
    <definedName name="Z_397AD331_8EE9_49A3_85C5_CAAF9519E963_.wvu.PrintArea" localSheetId="14" hidden="1">'11 - CGA'!$B$2:$H$52</definedName>
    <definedName name="Z_397AD331_8EE9_49A3_85C5_CAAF9519E963_.wvu.PrintArea" localSheetId="15" hidden="1">'12 - SS'!$B$2:$F$74</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fin'!$B$2:$E$46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R_Est'!$B$2:$H$72</definedName>
    <definedName name="Z_397AD331_8EE9_49A3_85C5_CAAF9519E963_.wvu.PrintArea" localSheetId="12" hidden="1">'9 - SFA'!$C$2:$H$96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EPR'!$B$2:$H$88</definedName>
    <definedName name="Z_3CBF401B_BA90_4504_A812_4461208B2AAF_.wvu.PrintArea" localSheetId="14" hidden="1">'11 - CGA'!$B$2:$H$52</definedName>
    <definedName name="Z_3CBF401B_BA90_4504_A812_4461208B2AAF_.wvu.PrintArea" localSheetId="15" hidden="1">'12 - SS'!$B$2:$F$74</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fin'!$B$2:$E$46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SS'!$B$2:$H$66</definedName>
    <definedName name="Z_3CBF401B_BA90_4504_A812_4461208B2AAF_.wvu.PrintArea" localSheetId="10" hidden="1">'7 - Estado'!$B$2:$C$73</definedName>
    <definedName name="Z_3CBF401B_BA90_4504_A812_4461208B2AAF_.wvu.PrintArea" localSheetId="11" hidden="1">'8 - R_Est'!$B$2:$H$72</definedName>
    <definedName name="Z_3CBF401B_BA90_4504_A812_4461208B2AAF_.wvu.PrintArea" localSheetId="12" hidden="1">'9 - SFA'!$B$2:$H$95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EPR'!$C$2:$H$88</definedName>
    <definedName name="Z_409D0809_DA86_4C14_803D_2162A19A44FF_.wvu.PrintArea" localSheetId="14" hidden="1">'11 - CGA'!$B$2:$H$52</definedName>
    <definedName name="Z_409D0809_DA86_4C14_803D_2162A19A44FF_.wvu.PrintArea" localSheetId="15" hidden="1">'12 - SS'!$B$2:$F$75</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fin'!$B$2:$E$46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SS'!$B$1:$H$66</definedName>
    <definedName name="Z_409D0809_DA86_4C14_803D_2162A19A44FF_.wvu.PrintArea" localSheetId="10" hidden="1">'7 - Estado'!$C$2:$C$73</definedName>
    <definedName name="Z_409D0809_DA86_4C14_803D_2162A19A44FF_.wvu.PrintArea" localSheetId="11" hidden="1">'8 - R_Est'!$B$2:$H$74</definedName>
    <definedName name="Z_409D0809_DA86_4C14_803D_2162A19A44FF_.wvu.PrintArea" localSheetId="12" hidden="1">'9 - SFA'!$C$2:$H$87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EPR'!$C$2:$H$88</definedName>
    <definedName name="Z_43AB44CB_B133_4B3C_9B24_AA3B4A5A58A7_.wvu.PrintArea" localSheetId="14" hidden="1">'11 - CGA'!$B$2:$H$52</definedName>
    <definedName name="Z_43AB44CB_B133_4B3C_9B24_AA3B4A5A58A7_.wvu.PrintArea" localSheetId="15" hidden="1">'12 - SS'!$B$2:$F$74</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fin'!$B$2:$E$46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SS'!$B$1:$H$66</definedName>
    <definedName name="Z_43AB44CB_B133_4B3C_9B24_AA3B4A5A58A7_.wvu.PrintArea" localSheetId="10" hidden="1">'7 - Estado'!$C$2:$C$73</definedName>
    <definedName name="Z_43AB44CB_B133_4B3C_9B24_AA3B4A5A58A7_.wvu.PrintArea" localSheetId="11" hidden="1">'8 - R_Est'!$B$2:$H$74</definedName>
    <definedName name="Z_43AB44CB_B133_4B3C_9B24_AA3B4A5A58A7_.wvu.PrintArea" localSheetId="12" hidden="1">'9 - SFA'!$C$2:$H$87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EPR'!$C$2:$H$88</definedName>
    <definedName name="Z_536C31F2_3B98_44EC_AFD0_C5BCDB62B873_.wvu.PrintArea" localSheetId="14" hidden="1">'11 - CGA'!$B$2:$H$52</definedName>
    <definedName name="Z_536C31F2_3B98_44EC_AFD0_C5BCDB62B873_.wvu.PrintArea" localSheetId="15" hidden="1">'12 - SS'!$B$2:$F$74</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fin'!$B$2:$E$46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SS'!$B$1:$H$66</definedName>
    <definedName name="Z_536C31F2_3B98_44EC_AFD0_C5BCDB62B873_.wvu.PrintArea" localSheetId="10" hidden="1">'7 - Estado'!$C$2:$C$73</definedName>
    <definedName name="Z_536C31F2_3B98_44EC_AFD0_C5BCDB62B873_.wvu.PrintArea" localSheetId="11" hidden="1">'8 - R_Est'!$B$2:$H$74</definedName>
    <definedName name="Z_536C31F2_3B98_44EC_AFD0_C5BCDB62B873_.wvu.PrintArea" localSheetId="12" hidden="1">'9 - SFA'!$C$2:$H$87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EPR'!$C$2:$H$88</definedName>
    <definedName name="Z_60062E94_E9B0_4825_A812_182FE1DB6021_.wvu.PrintArea" localSheetId="14" hidden="1">'11 - CGA'!$B$2:$H$52</definedName>
    <definedName name="Z_60062E94_E9B0_4825_A812_182FE1DB6021_.wvu.PrintArea" localSheetId="15" hidden="1">'12 - SS'!$B$2:$F$74</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fin'!$B$2:$E$46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SS'!$B$1:$H$67</definedName>
    <definedName name="Z_60062E94_E9B0_4825_A812_182FE1DB6021_.wvu.PrintArea" localSheetId="10" hidden="1">'7 - Estado'!$C$2:$C$73</definedName>
    <definedName name="Z_60062E94_E9B0_4825_A812_182FE1DB6021_.wvu.PrintArea" localSheetId="11" hidden="1">'8 - R_Est'!$B$2:$H$72</definedName>
    <definedName name="Z_60062E94_E9B0_4825_A812_182FE1DB6021_.wvu.PrintArea" localSheetId="12" hidden="1">'9 - SFA'!$C$2:$H$96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AC'!$B$1:$F$57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EPR'!$C$2:$H$88</definedName>
    <definedName name="Z_7C9CF15C_1C68_49F7_9700_3FAC67AFF208_.wvu.PrintArea" localSheetId="14" hidden="1">'11 - CGA'!$B$2:$H$52</definedName>
    <definedName name="Z_7C9CF15C_1C68_49F7_9700_3FAC67AFF208_.wvu.PrintArea" localSheetId="15" hidden="1">'12 - SS'!$B$2:$F$74</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fin'!$B$2:$E$46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SS'!$B$1:$H$62</definedName>
    <definedName name="Z_7C9CF15C_1C68_49F7_9700_3FAC67AFF208_.wvu.PrintArea" localSheetId="10" hidden="1">'7 - Estado'!$C$2:$C$73</definedName>
    <definedName name="Z_7C9CF15C_1C68_49F7_9700_3FAC67AFF208_.wvu.PrintArea" localSheetId="11" hidden="1">'8 - R_Est'!$B$2:$H$72</definedName>
    <definedName name="Z_7C9CF15C_1C68_49F7_9700_3FAC67AFF208_.wvu.PrintArea" localSheetId="12" hidden="1">'9 - SFA'!$C$2:$H$96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EPR'!$C$2:$H$88</definedName>
    <definedName name="Z_9177A1FF_E4C8_4A1B_B90F_C92196CC7C57_.wvu.PrintArea" localSheetId="14" hidden="1">'11 - CGA'!$B$2:$H$52</definedName>
    <definedName name="Z_9177A1FF_E4C8_4A1B_B90F_C92196CC7C57_.wvu.PrintArea" localSheetId="15" hidden="1">'12 - SS'!$B$2:$F$74</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fin'!$B$2:$E$46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SS'!$B$1:$H$66</definedName>
    <definedName name="Z_9177A1FF_E4C8_4A1B_B90F_C92196CC7C57_.wvu.PrintArea" localSheetId="10" hidden="1">'7 - Estado'!$C$2:$C$73</definedName>
    <definedName name="Z_9177A1FF_E4C8_4A1B_B90F_C92196CC7C57_.wvu.PrintArea" localSheetId="11" hidden="1">'8 - R_Est'!$B$2:$H$74</definedName>
    <definedName name="Z_9177A1FF_E4C8_4A1B_B90F_C92196CC7C57_.wvu.PrintArea" localSheetId="12" hidden="1">'9 - SFA'!$C$2:$H$87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EPR'!$C$2:$H$88</definedName>
    <definedName name="Z_995CCCB8_BF97_4653_A7C0_86012B807DB5_.wvu.PrintArea" localSheetId="14" hidden="1">'11 - CGA'!$B$2:$H$52</definedName>
    <definedName name="Z_995CCCB8_BF97_4653_A7C0_86012B807DB5_.wvu.PrintArea" localSheetId="15" hidden="1">'12 - SS'!$B$2:$F$74</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fin'!$B$2:$E$46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SS'!$B$1:$H$62</definedName>
    <definedName name="Z_995CCCB8_BF97_4653_A7C0_86012B807DB5_.wvu.PrintArea" localSheetId="10" hidden="1">'7 - Estado'!$C$2:$C$73</definedName>
    <definedName name="Z_995CCCB8_BF97_4653_A7C0_86012B807DB5_.wvu.PrintArea" localSheetId="11" hidden="1">'8 - R_Est'!$B$2:$H$72</definedName>
    <definedName name="Z_995CCCB8_BF97_4653_A7C0_86012B807DB5_.wvu.PrintArea" localSheetId="12" hidden="1">'9 - SFA'!$C$2:$H$96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EPR'!$C$2:$H$88</definedName>
    <definedName name="Z_9C8E7FE3_A7A1_4D36_A156_3751861446D4_.wvu.PrintArea" localSheetId="14" hidden="1">'11 - CGA'!$B$2:$H$52</definedName>
    <definedName name="Z_9C8E7FE3_A7A1_4D36_A156_3751861446D4_.wvu.PrintArea" localSheetId="15" hidden="1">'12 - SS'!$B$2:$F$74</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fin'!$B$2:$E$46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SS'!$B$2:$H$66</definedName>
    <definedName name="Z_9C8E7FE3_A7A1_4D36_A156_3751861446D4_.wvu.PrintArea" localSheetId="10" hidden="1">'7 - Estado'!$C$2:$C$73</definedName>
    <definedName name="Z_9C8E7FE3_A7A1_4D36_A156_3751861446D4_.wvu.PrintArea" localSheetId="11" hidden="1">'8 - R_Est'!$B$2:$H$72</definedName>
    <definedName name="Z_9C8E7FE3_A7A1_4D36_A156_3751861446D4_.wvu.PrintArea" localSheetId="12" hidden="1">'9 - SFA'!$C$2:$H$96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AC'!$B$1:$F$57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EPR'!$C$2:$H$88</definedName>
    <definedName name="Z_B22C7842_6BF9_4A1C_B06C_2AD9B9A784D4_.wvu.PrintArea" localSheetId="14" hidden="1">'11 - CGA'!$B$2:$H$52</definedName>
    <definedName name="Z_B22C7842_6BF9_4A1C_B06C_2AD9B9A784D4_.wvu.PrintArea" localSheetId="15" hidden="1">'12 - SS'!$B$2:$F$74</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fin'!$B$2:$E$46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R_Est'!$B$2:$H$72</definedName>
    <definedName name="Z_B22C7842_6BF9_4A1C_B06C_2AD9B9A784D4_.wvu.PrintArea" localSheetId="12" hidden="1">'9 - SFA'!$C$2:$H$96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CGA'!$C$3:$G$51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EPR'!$B$2:$H$88</definedName>
    <definedName name="Z_C403553D_352C_44B6_83D8_441F3A96C5BE_.wvu.PrintArea" localSheetId="14" hidden="1">'11 - CGA'!$B$2:$H$52</definedName>
    <definedName name="Z_C403553D_352C_44B6_83D8_441F3A96C5BE_.wvu.PrintArea" localSheetId="15" hidden="1">'12 - SS'!$B$2:$F$74</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fin'!$B$2:$E$46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SS'!$B$2:$H$66</definedName>
    <definedName name="Z_C403553D_352C_44B6_83D8_441F3A96C5BE_.wvu.PrintArea" localSheetId="10" hidden="1">'7 - Estado'!$B$2:$C$73</definedName>
    <definedName name="Z_C403553D_352C_44B6_83D8_441F3A96C5BE_.wvu.PrintArea" localSheetId="11" hidden="1">'8 - R_Est'!$B$2:$H$72</definedName>
    <definedName name="Z_C403553D_352C_44B6_83D8_441F3A96C5BE_.wvu.PrintArea" localSheetId="12" hidden="1">'9 - SFA'!$B$2:$H$95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AC'!$B$1:$F$57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CGA'!$C$3:$G$51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EPR'!$C$2:$H$88</definedName>
    <definedName name="Z_DB1D3FDB_E0D5_4FD7_BD6E_EC28675EBF68_.wvu.PrintArea" localSheetId="14" hidden="1">'11 - CGA'!$B$2:$H$52</definedName>
    <definedName name="Z_DB1D3FDB_E0D5_4FD7_BD6E_EC28675EBF68_.wvu.PrintArea" localSheetId="15" hidden="1">'12 - SS'!$B$2:$F$74</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fin'!$B$2:$E$46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R_Est'!$B$2:$H$72</definedName>
    <definedName name="Z_DB1D3FDB_E0D5_4FD7_BD6E_EC28675EBF68_.wvu.PrintArea" localSheetId="12" hidden="1">'9 - SFA'!$C$2:$H$96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EPR'!$B$2:$H$88</definedName>
    <definedName name="Z_E424CD16_C6CB_4435_8379_83DB8236700E_.wvu.PrintArea" localSheetId="14" hidden="1">'11 - CGA'!$B$2:$H$52</definedName>
    <definedName name="Z_E424CD16_C6CB_4435_8379_83DB8236700E_.wvu.PrintArea" localSheetId="15" hidden="1">'12 - SS'!$B$2:$F$74</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fin'!$B$2:$E$46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SS'!$B$2:$H$66</definedName>
    <definedName name="Z_E424CD16_C6CB_4435_8379_83DB8236700E_.wvu.PrintArea" localSheetId="10" hidden="1">'7 - Estado'!$B$2:$C$73</definedName>
    <definedName name="Z_E424CD16_C6CB_4435_8379_83DB8236700E_.wvu.PrintArea" localSheetId="11" hidden="1">'8 - R_Est'!$B$2:$H$74</definedName>
    <definedName name="Z_E424CD16_C6CB_4435_8379_83DB8236700E_.wvu.PrintArea" localSheetId="12" hidden="1">'9 - SFA'!$B$2:$H$95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AC'!$B$1:$F$57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EPR'!$C$2:$H$88</definedName>
    <definedName name="Z_EBA68B69_6D6E_44F8_8C51_9491A55275C5_.wvu.PrintArea" localSheetId="14" hidden="1">'11 - CGA'!$B$2:$H$52</definedName>
    <definedName name="Z_EBA68B69_6D6E_44F8_8C51_9491A55275C5_.wvu.PrintArea" localSheetId="15" hidden="1">'12 - SS'!$B$2:$F$74</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fin'!$B$2:$E$46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R_Est'!$B$2:$H$72</definedName>
    <definedName name="Z_EBA68B69_6D6E_44F8_8C51_9491A55275C5_.wvu.PrintArea" localSheetId="12" hidden="1">'9 - SFA'!$C$2:$H$96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7" i="32" l="1"/>
  <c r="F21" i="32"/>
  <c r="I14" i="33"/>
  <c r="E14" i="33"/>
  <c r="D58" i="20" l="1"/>
  <c r="C91" i="17" l="1"/>
  <c r="D68" i="35" l="1"/>
  <c r="C68" i="35"/>
  <c r="C87" i="33"/>
  <c r="C88" i="33"/>
  <c r="I87" i="33"/>
  <c r="H87" i="33"/>
  <c r="G87" i="33"/>
  <c r="F87" i="33"/>
  <c r="E87" i="33"/>
  <c r="D87" i="33"/>
  <c r="I61" i="33" l="1"/>
  <c r="H64" i="33"/>
  <c r="G64" i="33"/>
  <c r="D61" i="33"/>
  <c r="C61" i="33"/>
  <c r="C87" i="17" l="1"/>
  <c r="E64" i="33" l="1"/>
  <c r="C23" i="33"/>
  <c r="C35" i="33" l="1"/>
  <c r="C47" i="33"/>
  <c r="I23" i="33"/>
  <c r="D23" i="33"/>
  <c r="D41" i="35" l="1"/>
  <c r="C24" i="35"/>
  <c r="C25" i="33" l="1"/>
  <c r="D25" i="33"/>
  <c r="C35" i="7"/>
  <c r="I25" i="33"/>
  <c r="I43" i="33"/>
  <c r="C84" i="17" l="1"/>
  <c r="C48" i="30" l="1"/>
  <c r="H42" i="30"/>
  <c r="G42" i="30"/>
  <c r="E42" i="30"/>
  <c r="D42" i="30"/>
  <c r="H33" i="30"/>
  <c r="H22" i="30"/>
  <c r="H15" i="30"/>
  <c r="H7" i="30"/>
  <c r="H20" i="30" s="1"/>
  <c r="H40" i="30" s="1"/>
  <c r="AH71" i="28" l="1"/>
  <c r="S71" i="28"/>
  <c r="I8" i="25" l="1"/>
  <c r="G8" i="25"/>
  <c r="H8" i="25" l="1"/>
  <c r="F8" i="25"/>
  <c r="Q43" i="20" l="1"/>
  <c r="P43" i="20"/>
  <c r="O43" i="20"/>
  <c r="N43" i="20"/>
  <c r="M43" i="20"/>
  <c r="L43" i="20"/>
  <c r="K43" i="20"/>
  <c r="J43" i="20"/>
  <c r="I43" i="20"/>
  <c r="H43" i="20"/>
  <c r="G43" i="20"/>
  <c r="F43" i="20"/>
  <c r="E43" i="20"/>
  <c r="Q9" i="20"/>
  <c r="P28" i="20"/>
  <c r="O28" i="20"/>
  <c r="N28" i="20"/>
  <c r="M28" i="20"/>
  <c r="P9" i="20"/>
  <c r="O9" i="20"/>
  <c r="N9" i="20"/>
  <c r="M9" i="20"/>
  <c r="L28" i="20"/>
  <c r="K28" i="20"/>
  <c r="J28" i="20"/>
  <c r="I28" i="20"/>
  <c r="H28" i="20"/>
  <c r="G28" i="20"/>
  <c r="F28" i="20"/>
  <c r="E28" i="20"/>
  <c r="L9" i="20"/>
  <c r="K9" i="20"/>
  <c r="J9" i="20"/>
  <c r="I9" i="20"/>
  <c r="H9" i="20"/>
  <c r="G9" i="20"/>
  <c r="F9" i="20"/>
  <c r="E9" i="20"/>
  <c r="G7" i="18" l="1"/>
  <c r="F7" i="18"/>
  <c r="D43" i="33" l="1"/>
  <c r="F72" i="9" l="1"/>
  <c r="E72" i="9"/>
  <c r="C4" i="32" l="1"/>
  <c r="G176" i="32"/>
  <c r="G169" i="32"/>
  <c r="G158" i="32"/>
  <c r="G143" i="32"/>
  <c r="G139" i="32"/>
  <c r="G126" i="32"/>
  <c r="G117" i="32"/>
  <c r="G107" i="32"/>
  <c r="G108" i="32" s="1"/>
  <c r="G102" i="32"/>
  <c r="G91" i="32"/>
  <c r="G75" i="32"/>
  <c r="G60" i="32"/>
  <c r="G54" i="32"/>
  <c r="G48" i="32"/>
  <c r="G36" i="32"/>
  <c r="G30" i="32"/>
  <c r="G28" i="32"/>
  <c r="G21" i="32"/>
  <c r="G37" i="32" s="1"/>
  <c r="G13" i="32"/>
  <c r="AH56" i="28" l="1"/>
  <c r="S85" i="28"/>
  <c r="S84" i="28"/>
  <c r="S83" i="28"/>
  <c r="S82" i="28"/>
  <c r="S81" i="28"/>
  <c r="S80" i="28"/>
  <c r="S79" i="28"/>
  <c r="S78" i="28"/>
  <c r="S77" i="28"/>
  <c r="S76" i="28"/>
  <c r="S75" i="28"/>
  <c r="S74" i="28"/>
  <c r="S73" i="28"/>
  <c r="S72" i="28"/>
  <c r="S70" i="28"/>
  <c r="S69" i="28"/>
  <c r="S68" i="28"/>
  <c r="S67" i="28"/>
  <c r="S66" i="28"/>
  <c r="S65" i="28"/>
  <c r="S64" i="28"/>
  <c r="S63" i="28"/>
  <c r="S62" i="28"/>
  <c r="S61" i="28"/>
  <c r="S60" i="28"/>
  <c r="S59" i="28"/>
  <c r="S58" i="28"/>
  <c r="S57" i="28"/>
  <c r="S56" i="28"/>
  <c r="S9" i="28"/>
  <c r="C5" i="7"/>
  <c r="G6" i="4"/>
  <c r="F6" i="4"/>
  <c r="E6" i="4"/>
  <c r="C48" i="35" l="1"/>
  <c r="C50" i="35"/>
  <c r="C33" i="33"/>
  <c r="C56" i="33"/>
  <c r="D88" i="33" l="1"/>
  <c r="E88" i="33"/>
  <c r="F88" i="33"/>
  <c r="G88" i="33"/>
  <c r="H88" i="33"/>
  <c r="I88" i="33"/>
  <c r="C89" i="33"/>
  <c r="C91" i="33"/>
  <c r="H66" i="33" l="1"/>
  <c r="G66" i="33"/>
  <c r="F66" i="33"/>
  <c r="E66" i="33"/>
  <c r="C67" i="35" l="1"/>
  <c r="C55" i="35" l="1"/>
  <c r="C27" i="33" l="1"/>
  <c r="D10" i="33"/>
  <c r="C10" i="33"/>
  <c r="C38" i="33" l="1"/>
  <c r="D38" i="33" l="1"/>
  <c r="C82" i="28"/>
  <c r="T82" i="28" l="1"/>
  <c r="AH57" i="28"/>
  <c r="T85" i="28"/>
  <c r="T84" i="28"/>
  <c r="T83" i="28"/>
  <c r="T81" i="28"/>
  <c r="T80" i="28"/>
  <c r="T79" i="28"/>
  <c r="T78" i="28"/>
  <c r="T77" i="28"/>
  <c r="T76" i="28"/>
  <c r="T75" i="28"/>
  <c r="T74" i="28"/>
  <c r="T73" i="28"/>
  <c r="T72" i="28"/>
  <c r="T71" i="28"/>
  <c r="AH82" i="28"/>
  <c r="D82" i="28"/>
  <c r="D34" i="20" l="1"/>
  <c r="C41" i="33" l="1"/>
  <c r="C27" i="35"/>
  <c r="D32" i="35" l="1"/>
  <c r="D25" i="35"/>
  <c r="C40" i="33" l="1"/>
  <c r="C42" i="33" l="1"/>
  <c r="C74" i="33"/>
  <c r="I42" i="33"/>
  <c r="D42" i="33"/>
  <c r="D15" i="35" l="1"/>
  <c r="E69" i="33" l="1"/>
  <c r="I44" i="33"/>
  <c r="I41" i="33"/>
  <c r="D41" i="33"/>
  <c r="F64" i="33"/>
  <c r="F69" i="33" s="1"/>
  <c r="I38" i="33"/>
  <c r="D6" i="18" l="1"/>
  <c r="D72" i="9" l="1"/>
  <c r="D6" i="13" l="1"/>
  <c r="D6" i="12"/>
  <c r="D6" i="11"/>
  <c r="D6" i="10"/>
  <c r="D6" i="9"/>
  <c r="D5" i="8"/>
  <c r="D6" i="7"/>
  <c r="D6" i="14"/>
  <c r="D6" i="15"/>
  <c r="E6" i="15" l="1"/>
  <c r="C39" i="33" l="1"/>
  <c r="D27" i="33" l="1"/>
  <c r="I27" i="33" l="1"/>
  <c r="E6" i="6" l="1"/>
  <c r="F36" i="14" l="1"/>
  <c r="E36" i="14"/>
  <c r="E157" i="32" l="1"/>
  <c r="E156" i="32" l="1"/>
  <c r="T56" i="28" l="1"/>
  <c r="AH58" i="28" l="1"/>
  <c r="C23" i="35"/>
  <c r="D47" i="35" l="1"/>
  <c r="I60" i="33"/>
  <c r="I31" i="33"/>
  <c r="I30" i="33"/>
  <c r="I29" i="33"/>
  <c r="I21" i="33"/>
  <c r="I17" i="33"/>
  <c r="I16" i="33"/>
  <c r="I11" i="33"/>
  <c r="I12" i="33"/>
  <c r="I10" i="33"/>
  <c r="I9" i="33"/>
  <c r="C69" i="28" l="1"/>
  <c r="C78" i="28" l="1"/>
  <c r="AH69" i="28" l="1"/>
  <c r="T69" i="28"/>
  <c r="D69" i="28"/>
  <c r="AH78" i="28"/>
  <c r="D78" i="28"/>
  <c r="D56" i="33" l="1"/>
  <c r="I56" i="33" l="1"/>
  <c r="G15" i="30"/>
  <c r="E64" i="10" l="1"/>
  <c r="D115" i="27" l="1"/>
  <c r="C516" i="36" l="1"/>
  <c r="C511" i="36" l="1"/>
  <c r="C518" i="36" l="1"/>
  <c r="C74" i="28"/>
  <c r="C9" i="4" l="1"/>
  <c r="C8" i="4"/>
  <c r="C7" i="33"/>
  <c r="C2" i="33"/>
  <c r="C2" i="35"/>
  <c r="C17" i="14" l="1"/>
  <c r="F14" i="14" l="1"/>
  <c r="E14" i="14"/>
  <c r="E6" i="19" l="1"/>
  <c r="G6" i="19"/>
  <c r="N6" i="34" l="1"/>
  <c r="V74" i="28" l="1"/>
  <c r="G6" i="6" l="1"/>
  <c r="D6" i="25"/>
  <c r="F6" i="25"/>
  <c r="C12" i="35" l="1"/>
  <c r="C58" i="35" l="1"/>
  <c r="C67" i="33"/>
  <c r="D33" i="33" l="1"/>
  <c r="C62" i="35" l="1"/>
  <c r="C60" i="35"/>
  <c r="C57" i="35"/>
  <c r="G69" i="33" l="1"/>
  <c r="I33" i="33"/>
  <c r="F6" i="17"/>
  <c r="D6" i="17"/>
  <c r="D7" i="31"/>
  <c r="G7" i="31"/>
  <c r="J7" i="31"/>
  <c r="AH74" i="28" l="1"/>
  <c r="D74" i="28"/>
  <c r="R52" i="20" l="1"/>
  <c r="Q51" i="20"/>
  <c r="P51" i="20"/>
  <c r="O51" i="20"/>
  <c r="N51" i="20"/>
  <c r="M51" i="20"/>
  <c r="L51" i="20"/>
  <c r="K51" i="20"/>
  <c r="J51" i="20"/>
  <c r="I51" i="20"/>
  <c r="H51" i="20"/>
  <c r="G51" i="20"/>
  <c r="F51" i="20"/>
  <c r="E51" i="20"/>
  <c r="R50" i="20"/>
  <c r="R49" i="20"/>
  <c r="R48" i="20"/>
  <c r="R47" i="20"/>
  <c r="R46" i="20"/>
  <c r="R45" i="20"/>
  <c r="Q44" i="20"/>
  <c r="P44" i="20"/>
  <c r="O44" i="20"/>
  <c r="N44" i="20"/>
  <c r="M44" i="20"/>
  <c r="L44" i="20"/>
  <c r="K44" i="20"/>
  <c r="J44" i="20"/>
  <c r="J53" i="20" s="1"/>
  <c r="I44" i="20"/>
  <c r="H44" i="20"/>
  <c r="G44" i="20"/>
  <c r="F44" i="20"/>
  <c r="E44" i="20"/>
  <c r="Q28" i="20"/>
  <c r="R28" i="20" s="1"/>
  <c r="R27" i="20"/>
  <c r="R26" i="20"/>
  <c r="R25" i="20"/>
  <c r="R24" i="20"/>
  <c r="R23" i="20"/>
  <c r="R22" i="20"/>
  <c r="R21" i="20"/>
  <c r="R20" i="20"/>
  <c r="R19" i="20"/>
  <c r="R18" i="20"/>
  <c r="R17" i="20"/>
  <c r="R16" i="20"/>
  <c r="R15" i="20"/>
  <c r="R14" i="20"/>
  <c r="R13" i="20"/>
  <c r="R12" i="20"/>
  <c r="R11" i="20"/>
  <c r="R10" i="20"/>
  <c r="K53" i="20" l="1"/>
  <c r="R51" i="20"/>
  <c r="E53" i="20"/>
  <c r="I53" i="20"/>
  <c r="P53" i="20"/>
  <c r="O53" i="20"/>
  <c r="R44" i="20"/>
  <c r="F53" i="20"/>
  <c r="L53" i="20"/>
  <c r="G53" i="20"/>
  <c r="M53" i="20"/>
  <c r="H53" i="20"/>
  <c r="N53" i="20"/>
  <c r="Q53" i="20"/>
  <c r="C28" i="4"/>
  <c r="C2" i="36"/>
  <c r="R53" i="20" l="1"/>
  <c r="C4" i="36"/>
  <c r="C30" i="36"/>
  <c r="C59" i="36"/>
  <c r="C85" i="36"/>
  <c r="C92" i="36"/>
  <c r="C127" i="36"/>
  <c r="C129" i="36"/>
  <c r="C148" i="36"/>
  <c r="C162" i="36"/>
  <c r="C185" i="36"/>
  <c r="C203" i="36"/>
  <c r="C295" i="36"/>
  <c r="C320" i="36"/>
  <c r="C362" i="36"/>
  <c r="C429" i="36"/>
  <c r="C463" i="36"/>
  <c r="C480" i="36"/>
  <c r="C497" i="36"/>
  <c r="C510" i="36"/>
  <c r="C513" i="36"/>
  <c r="C514" i="36"/>
  <c r="C515" i="36"/>
  <c r="C517" i="36"/>
  <c r="D67" i="33" l="1"/>
  <c r="D68" i="33"/>
  <c r="D59" i="33"/>
  <c r="D57" i="33"/>
  <c r="I67" i="33" l="1"/>
  <c r="H6" i="18"/>
  <c r="C13" i="35" l="1"/>
  <c r="C59" i="35" l="1"/>
  <c r="D57" i="35" s="1"/>
  <c r="C59" i="33"/>
  <c r="C69" i="33"/>
  <c r="C66" i="33"/>
  <c r="C11" i="35"/>
  <c r="I59" i="33" l="1"/>
  <c r="C219" i="32" l="1"/>
  <c r="D60" i="35" l="1"/>
  <c r="C22" i="33"/>
  <c r="C43" i="35"/>
  <c r="C68" i="33"/>
  <c r="C57" i="33"/>
  <c r="I68" i="33" l="1"/>
  <c r="I57" i="33"/>
  <c r="D22" i="33"/>
  <c r="I66" i="33" l="1"/>
  <c r="H5" i="30"/>
  <c r="G33" i="30"/>
  <c r="G22" i="30"/>
  <c r="G7" i="30"/>
  <c r="I22" i="33" l="1"/>
  <c r="G20" i="30"/>
  <c r="G40" i="30" s="1"/>
  <c r="C216" i="32" l="1"/>
  <c r="C214" i="32"/>
  <c r="F176" i="32"/>
  <c r="F169" i="32"/>
  <c r="F158" i="32"/>
  <c r="F143" i="32"/>
  <c r="F139" i="32"/>
  <c r="F126" i="32"/>
  <c r="F107" i="32"/>
  <c r="F102" i="32"/>
  <c r="F91" i="32"/>
  <c r="F75" i="32"/>
  <c r="F60" i="32"/>
  <c r="F54" i="32"/>
  <c r="F48" i="32"/>
  <c r="F36" i="32"/>
  <c r="F30" i="32"/>
  <c r="F28" i="32"/>
  <c r="F13" i="32"/>
  <c r="C2" i="32"/>
  <c r="F37" i="32" l="1"/>
  <c r="E14" i="15" l="1"/>
  <c r="F14" i="15"/>
  <c r="C12" i="33" l="1"/>
  <c r="D12" i="33"/>
  <c r="F30" i="10" l="1"/>
  <c r="E30" i="10"/>
  <c r="C72" i="10" l="1"/>
  <c r="E54" i="10" l="1"/>
  <c r="F54" i="10"/>
  <c r="C76" i="9" l="1"/>
  <c r="H7" i="15" l="1"/>
  <c r="G6" i="15"/>
  <c r="H7" i="14"/>
  <c r="G6" i="14"/>
  <c r="E6" i="14"/>
  <c r="H7" i="13"/>
  <c r="G6" i="13"/>
  <c r="E6" i="13"/>
  <c r="H7" i="12"/>
  <c r="G6" i="12"/>
  <c r="E6" i="12"/>
  <c r="H7" i="11"/>
  <c r="G6" i="11"/>
  <c r="E6" i="11"/>
  <c r="H7" i="10"/>
  <c r="G6" i="10"/>
  <c r="E6" i="10"/>
  <c r="H7" i="9"/>
  <c r="G6" i="9"/>
  <c r="E6" i="9"/>
  <c r="H6" i="8"/>
  <c r="G5" i="8"/>
  <c r="E5" i="8"/>
  <c r="E6" i="7"/>
  <c r="G6" i="7"/>
  <c r="H7" i="7"/>
  <c r="L9" i="24" l="1"/>
  <c r="D114" i="27"/>
  <c r="C81" i="28" l="1"/>
  <c r="C7" i="35" l="1"/>
  <c r="C9" i="35"/>
  <c r="C9" i="33"/>
  <c r="C10" i="35"/>
  <c r="C8" i="33"/>
  <c r="C15" i="35"/>
  <c r="C14" i="33"/>
  <c r="D6" i="35"/>
  <c r="I6" i="33"/>
  <c r="C27" i="4"/>
  <c r="D22" i="35" l="1"/>
  <c r="C20" i="17"/>
  <c r="C11" i="17"/>
  <c r="C10" i="17"/>
  <c r="C59" i="6" l="1"/>
  <c r="E19" i="6" l="1"/>
  <c r="G19" i="6"/>
  <c r="H19" i="6"/>
  <c r="I19" i="6"/>
  <c r="J19" i="6"/>
  <c r="K19" i="6"/>
  <c r="M19" i="6"/>
  <c r="N19" i="6"/>
  <c r="O19" i="6"/>
  <c r="P19" i="6"/>
  <c r="Q19" i="6"/>
  <c r="C4" i="35" l="1"/>
  <c r="C4" i="33"/>
  <c r="C2" i="30" l="1"/>
  <c r="C2" i="28" l="1"/>
  <c r="C2" i="27"/>
  <c r="C2" i="20"/>
  <c r="C2" i="19"/>
  <c r="C2" i="18"/>
  <c r="C2" i="17"/>
  <c r="C2" i="31"/>
  <c r="C2" i="15"/>
  <c r="C26" i="4"/>
  <c r="C25" i="4"/>
  <c r="C24" i="4"/>
  <c r="C23" i="4"/>
  <c r="C22" i="4"/>
  <c r="C21" i="4"/>
  <c r="C20" i="4"/>
  <c r="C19" i="4"/>
  <c r="C18" i="4"/>
  <c r="C17" i="4"/>
  <c r="C16" i="4"/>
  <c r="C15" i="4"/>
  <c r="C14" i="4"/>
  <c r="C13" i="4"/>
  <c r="C12" i="4"/>
  <c r="C11" i="4"/>
  <c r="C10" i="4"/>
  <c r="C2" i="14"/>
  <c r="C2" i="13"/>
  <c r="C2" i="12"/>
  <c r="C2" i="11"/>
  <c r="C2" i="10"/>
  <c r="C2" i="9"/>
  <c r="C2" i="8"/>
  <c r="C2" i="7"/>
  <c r="G68" i="17" l="1"/>
  <c r="F68" i="17"/>
  <c r="C71" i="35" l="1"/>
  <c r="C69" i="35"/>
  <c r="C66" i="35"/>
  <c r="C65" i="35"/>
  <c r="C64" i="35"/>
  <c r="C53" i="35"/>
  <c r="C52" i="35"/>
  <c r="C51" i="35"/>
  <c r="C49" i="35"/>
  <c r="C47" i="35"/>
  <c r="C46" i="35"/>
  <c r="C42" i="35"/>
  <c r="C45" i="35"/>
  <c r="C44" i="35"/>
  <c r="C41" i="35"/>
  <c r="C40" i="35"/>
  <c r="C36" i="35"/>
  <c r="C39" i="35"/>
  <c r="C37" i="35"/>
  <c r="C38" i="35"/>
  <c r="C35" i="35"/>
  <c r="C33" i="35"/>
  <c r="C34" i="35"/>
  <c r="C32" i="35"/>
  <c r="C31" i="35"/>
  <c r="C30" i="35"/>
  <c r="C28" i="35"/>
  <c r="C29" i="35"/>
  <c r="C26" i="35"/>
  <c r="C25" i="35"/>
  <c r="C22" i="35"/>
  <c r="C19" i="35"/>
  <c r="D18" i="35" s="1"/>
  <c r="D17" i="35" s="1"/>
  <c r="C21" i="35"/>
  <c r="C20" i="35"/>
  <c r="C18" i="35"/>
  <c r="C17" i="35"/>
  <c r="F6" i="18" l="1"/>
  <c r="H5" i="18"/>
  <c r="L7" i="34" l="1"/>
  <c r="J7" i="34"/>
  <c r="H7" i="34"/>
  <c r="M7" i="34"/>
  <c r="K7" i="34"/>
  <c r="I7" i="34"/>
  <c r="C19" i="34" l="1"/>
  <c r="Q65" i="6" l="1"/>
  <c r="Q5" i="6" l="1"/>
  <c r="C71" i="28" l="1"/>
  <c r="C79" i="28"/>
  <c r="D71" i="28"/>
  <c r="C80" i="28"/>
  <c r="AH79" i="28"/>
  <c r="D79" i="28"/>
  <c r="AH80" i="28"/>
  <c r="D80" i="28"/>
  <c r="C87" i="28" l="1"/>
  <c r="C84" i="28"/>
  <c r="C83" i="28"/>
  <c r="C76" i="28"/>
  <c r="C75" i="28"/>
  <c r="D9" i="33" l="1"/>
  <c r="C31" i="33" l="1"/>
  <c r="C67" i="28" l="1"/>
  <c r="G9" i="28"/>
  <c r="G7" i="15" l="1"/>
  <c r="G7" i="14"/>
  <c r="G7" i="13"/>
  <c r="AH72" i="28" l="1"/>
  <c r="AH59" i="28"/>
  <c r="AH60" i="28"/>
  <c r="AH61" i="28"/>
  <c r="AH62" i="28"/>
  <c r="AH63" i="28"/>
  <c r="AH64" i="28"/>
  <c r="AH65" i="28"/>
  <c r="AH66" i="28"/>
  <c r="AH67" i="28"/>
  <c r="AH68" i="28"/>
  <c r="AH70" i="28"/>
  <c r="AH73" i="28"/>
  <c r="AH75" i="28"/>
  <c r="AH76" i="28"/>
  <c r="AH77" i="28"/>
  <c r="AH81" i="28"/>
  <c r="AH83" i="28"/>
  <c r="AH84" i="28"/>
  <c r="AH85"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s="1"/>
  <c r="D38" i="15"/>
  <c r="D32" i="15"/>
  <c r="D22" i="15"/>
  <c r="D20" i="15" s="1"/>
  <c r="D14" i="15"/>
  <c r="D9" i="15"/>
  <c r="D62" i="14"/>
  <c r="D36" i="14"/>
  <c r="D35" i="14" s="1"/>
  <c r="D34" i="14" s="1"/>
  <c r="D28" i="14"/>
  <c r="D9" i="14"/>
  <c r="D36" i="13"/>
  <c r="D30" i="13"/>
  <c r="D24" i="13"/>
  <c r="D17" i="13"/>
  <c r="D15" i="13" s="1"/>
  <c r="D14" i="13" s="1"/>
  <c r="D11" i="13"/>
  <c r="D9" i="13" s="1"/>
  <c r="D51" i="12"/>
  <c r="D49" i="12" s="1"/>
  <c r="D41" i="12"/>
  <c r="D35" i="12"/>
  <c r="D24" i="12"/>
  <c r="D22" i="12" s="1"/>
  <c r="D15" i="12"/>
  <c r="D10" i="12"/>
  <c r="D9" i="12" l="1"/>
  <c r="D8" i="13"/>
  <c r="D27" i="13" s="1"/>
  <c r="D8" i="15"/>
  <c r="D29" i="13"/>
  <c r="D45" i="13" s="1"/>
  <c r="D66" i="14"/>
  <c r="D34" i="12"/>
  <c r="D64" i="12" s="1"/>
  <c r="D61" i="15"/>
  <c r="D31" i="15"/>
  <c r="D54" i="15" s="1"/>
  <c r="D58" i="15" s="1"/>
  <c r="D65" i="12"/>
  <c r="D32" i="14"/>
  <c r="D29" i="15"/>
  <c r="D47" i="13"/>
  <c r="D51" i="13" s="1"/>
  <c r="D32" i="12"/>
  <c r="D51" i="11"/>
  <c r="D49" i="11" s="1"/>
  <c r="D41" i="11"/>
  <c r="D35" i="11"/>
  <c r="D24" i="11"/>
  <c r="D22" i="11" s="1"/>
  <c r="D15" i="11"/>
  <c r="D10" i="11"/>
  <c r="D71" i="9"/>
  <c r="D68" i="9" s="1"/>
  <c r="D70" i="9"/>
  <c r="D51" i="9"/>
  <c r="D49" i="9" s="1"/>
  <c r="D41" i="9"/>
  <c r="D35" i="9"/>
  <c r="D30" i="9"/>
  <c r="D29" i="9"/>
  <c r="D28" i="9"/>
  <c r="D27" i="9"/>
  <c r="D26" i="9"/>
  <c r="D25" i="9"/>
  <c r="D23" i="9"/>
  <c r="D21" i="9"/>
  <c r="D19" i="9"/>
  <c r="D18" i="9"/>
  <c r="D17" i="9"/>
  <c r="D16" i="9"/>
  <c r="D64" i="10"/>
  <c r="D54" i="10"/>
  <c r="D52" i="10" s="1"/>
  <c r="D45" i="10"/>
  <c r="D39" i="10"/>
  <c r="D35" i="10"/>
  <c r="D30" i="10"/>
  <c r="D14" i="9" s="1"/>
  <c r="D24" i="10"/>
  <c r="D13" i="9" s="1"/>
  <c r="D14" i="10"/>
  <c r="D12" i="9" s="1"/>
  <c r="D10" i="10"/>
  <c r="D11" i="9" s="1"/>
  <c r="D43" i="8"/>
  <c r="D41" i="8" s="1"/>
  <c r="D35" i="8"/>
  <c r="D29" i="8"/>
  <c r="D20" i="8"/>
  <c r="D18" i="8" s="1"/>
  <c r="D13" i="8"/>
  <c r="D8" i="8" s="1"/>
  <c r="D9" i="8"/>
  <c r="C64" i="7"/>
  <c r="C66" i="7"/>
  <c r="D44" i="7"/>
  <c r="D42" i="7" s="1"/>
  <c r="D36" i="7"/>
  <c r="D30" i="7"/>
  <c r="D21" i="7"/>
  <c r="D19" i="7" s="1"/>
  <c r="D14" i="7"/>
  <c r="D9" i="7" s="1"/>
  <c r="D10" i="7"/>
  <c r="D9" i="10" l="1"/>
  <c r="D68" i="14"/>
  <c r="D73" i="14" s="1"/>
  <c r="D15" i="9"/>
  <c r="D20" i="9"/>
  <c r="D61" i="12"/>
  <c r="D73" i="12" s="1"/>
  <c r="D29" i="7"/>
  <c r="D55" i="7" s="1"/>
  <c r="D55" i="8"/>
  <c r="D29" i="10"/>
  <c r="D28" i="10" s="1"/>
  <c r="D9" i="11"/>
  <c r="D32" i="11" s="1"/>
  <c r="D59" i="12"/>
  <c r="D63" i="12" s="1"/>
  <c r="D60" i="15"/>
  <c r="D34" i="11"/>
  <c r="D34" i="9"/>
  <c r="D59" i="9" s="1"/>
  <c r="D63" i="9" s="1"/>
  <c r="D56" i="15"/>
  <c r="D68" i="15" s="1"/>
  <c r="D24" i="9"/>
  <c r="D22" i="9" s="1"/>
  <c r="D10" i="9"/>
  <c r="D56" i="7"/>
  <c r="D65" i="11"/>
  <c r="D28" i="8"/>
  <c r="D49" i="8" s="1"/>
  <c r="D53" i="8" s="1"/>
  <c r="D59" i="15"/>
  <c r="D26" i="8"/>
  <c r="D27" i="7"/>
  <c r="D9" i="9" l="1"/>
  <c r="D62" i="10"/>
  <c r="D66" i="12"/>
  <c r="D50" i="7"/>
  <c r="D54" i="7" s="1"/>
  <c r="D64" i="11"/>
  <c r="D64" i="9"/>
  <c r="D59" i="11"/>
  <c r="D63" i="11" s="1"/>
  <c r="D61" i="11"/>
  <c r="D66" i="11" s="1"/>
  <c r="D65" i="9"/>
  <c r="D32" i="9"/>
  <c r="D61" i="9" s="1"/>
  <c r="D66" i="9" s="1"/>
  <c r="D52" i="7"/>
  <c r="D57" i="7" s="1"/>
  <c r="D51" i="8"/>
  <c r="D56" i="8" s="1"/>
  <c r="D54" i="8"/>
  <c r="D73" i="11" l="1"/>
  <c r="C6" i="35"/>
  <c r="F4" i="4" l="1"/>
  <c r="C73" i="28" l="1"/>
  <c r="C25" i="14"/>
  <c r="C24" i="14"/>
  <c r="C85" i="28" l="1"/>
  <c r="D46" i="33" l="1"/>
  <c r="C46" i="33" l="1"/>
  <c r="C12" i="25" l="1"/>
  <c r="C11" i="25"/>
  <c r="C109" i="6"/>
  <c r="C86" i="6"/>
  <c r="C50" i="6"/>
  <c r="C27" i="6"/>
  <c r="C39" i="25"/>
  <c r="C23" i="25"/>
  <c r="I46" i="33" l="1"/>
  <c r="C47" i="25"/>
  <c r="AG27" i="28" l="1"/>
  <c r="R27" i="28"/>
  <c r="D73" i="28" l="1"/>
  <c r="E7" i="30" l="1"/>
  <c r="E15" i="30"/>
  <c r="E22" i="30"/>
  <c r="E33" i="30"/>
  <c r="E20" i="30" l="1"/>
  <c r="E40" i="30" l="1"/>
  <c r="C74" i="31" l="1"/>
  <c r="F22" i="15" l="1"/>
  <c r="E22" i="15"/>
  <c r="G25" i="14"/>
  <c r="E28" i="14"/>
  <c r="F28" i="14"/>
  <c r="E17" i="13" l="1"/>
  <c r="F17" i="13"/>
  <c r="F15" i="13" l="1"/>
  <c r="E15" i="13"/>
  <c r="C76" i="11"/>
  <c r="C78" i="14"/>
  <c r="C75" i="9"/>
  <c r="C59" i="8"/>
  <c r="C54" i="13"/>
  <c r="C76" i="12"/>
  <c r="C73" i="15"/>
  <c r="C63" i="28" l="1"/>
  <c r="T63" i="28" l="1"/>
  <c r="T62" i="28"/>
  <c r="D62" i="28"/>
  <c r="C62" i="28"/>
  <c r="F9" i="15" l="1"/>
  <c r="E9" i="15"/>
  <c r="S37" i="28"/>
  <c r="S35" i="28"/>
  <c r="S31" i="28"/>
  <c r="S17" i="28"/>
  <c r="S15" i="28"/>
  <c r="F45" i="10"/>
  <c r="E45" i="10"/>
  <c r="C188" i="32"/>
  <c r="R42" i="20"/>
  <c r="I8" i="33"/>
  <c r="D8" i="33"/>
  <c r="D270" i="27"/>
  <c r="E15" i="12"/>
  <c r="F15" i="12"/>
  <c r="D559" i="27"/>
  <c r="D570" i="27"/>
  <c r="D95" i="27"/>
  <c r="D16" i="33"/>
  <c r="D17" i="33"/>
  <c r="C24" i="18"/>
  <c r="C22" i="18"/>
  <c r="C21" i="18"/>
  <c r="K27" i="28"/>
  <c r="L27" i="28"/>
  <c r="N27" i="28"/>
  <c r="O27" i="28"/>
  <c r="P27" i="28"/>
  <c r="D107" i="27"/>
  <c r="S38" i="28"/>
  <c r="S10" i="28"/>
  <c r="F14" i="9"/>
  <c r="C5" i="19"/>
  <c r="D109" i="27"/>
  <c r="D45" i="33"/>
  <c r="C45" i="33"/>
  <c r="C4" i="4"/>
  <c r="AH28" i="28"/>
  <c r="T28" i="28"/>
  <c r="D75" i="28"/>
  <c r="G25" i="17"/>
  <c r="F25" i="17"/>
  <c r="C46" i="30"/>
  <c r="D108" i="27"/>
  <c r="C32" i="33"/>
  <c r="C86" i="33"/>
  <c r="D84" i="28"/>
  <c r="D40" i="33"/>
  <c r="T65" i="28"/>
  <c r="D65" i="28"/>
  <c r="C65" i="28"/>
  <c r="C75" i="15"/>
  <c r="M14" i="34"/>
  <c r="L14" i="34"/>
  <c r="K14" i="34"/>
  <c r="J14" i="34"/>
  <c r="M15" i="34"/>
  <c r="L15" i="34"/>
  <c r="J15" i="34"/>
  <c r="K15" i="34"/>
  <c r="C2" i="34"/>
  <c r="O7" i="34"/>
  <c r="N7" i="34"/>
  <c r="L6" i="34"/>
  <c r="J6" i="34"/>
  <c r="H6" i="34"/>
  <c r="O5" i="34"/>
  <c r="C20" i="34"/>
  <c r="C18" i="34"/>
  <c r="C16" i="34"/>
  <c r="D15" i="34"/>
  <c r="D14" i="34"/>
  <c r="E13" i="34"/>
  <c r="G12" i="34"/>
  <c r="F11" i="34"/>
  <c r="F10" i="34"/>
  <c r="E9" i="34"/>
  <c r="D8" i="34"/>
  <c r="H79" i="33"/>
  <c r="G79" i="33"/>
  <c r="G81" i="33" s="1"/>
  <c r="F79" i="33"/>
  <c r="F81" i="33" s="1"/>
  <c r="D74" i="33"/>
  <c r="S33" i="28"/>
  <c r="I86" i="33"/>
  <c r="H86" i="33"/>
  <c r="G86" i="33"/>
  <c r="F86" i="33"/>
  <c r="E86" i="33"/>
  <c r="D86" i="33"/>
  <c r="C81" i="33"/>
  <c r="C77" i="33"/>
  <c r="C75" i="33"/>
  <c r="C76" i="33"/>
  <c r="C72" i="33"/>
  <c r="C60" i="33"/>
  <c r="C58" i="33"/>
  <c r="C60" i="28"/>
  <c r="T60" i="28"/>
  <c r="D60" i="28"/>
  <c r="C78" i="33"/>
  <c r="D78" i="33"/>
  <c r="D77" i="33"/>
  <c r="D75" i="33"/>
  <c r="D76" i="33"/>
  <c r="D60" i="33"/>
  <c r="C24" i="33"/>
  <c r="D24" i="33"/>
  <c r="D15" i="30"/>
  <c r="G188" i="32"/>
  <c r="G4" i="32"/>
  <c r="D62" i="33"/>
  <c r="D58" i="33"/>
  <c r="D55" i="33"/>
  <c r="D54" i="33"/>
  <c r="D53" i="33"/>
  <c r="D52" i="33"/>
  <c r="D51" i="33"/>
  <c r="D47" i="33"/>
  <c r="D50" i="33"/>
  <c r="D48" i="33"/>
  <c r="D49" i="33"/>
  <c r="D34" i="33"/>
  <c r="D39" i="33"/>
  <c r="D37" i="33"/>
  <c r="D36" i="33"/>
  <c r="D32" i="33"/>
  <c r="D28" i="33"/>
  <c r="D31" i="33"/>
  <c r="D26" i="33"/>
  <c r="D29" i="33"/>
  <c r="D30" i="33"/>
  <c r="D44" i="33"/>
  <c r="D35" i="33"/>
  <c r="D21" i="33"/>
  <c r="D20" i="33"/>
  <c r="D19" i="33"/>
  <c r="D18" i="33"/>
  <c r="G10" i="28"/>
  <c r="AH35" i="28"/>
  <c r="T35" i="28"/>
  <c r="D81" i="28"/>
  <c r="C62" i="33"/>
  <c r="C55" i="33"/>
  <c r="C54" i="33"/>
  <c r="C53" i="33"/>
  <c r="C52" i="33"/>
  <c r="C51" i="33"/>
  <c r="C50" i="33"/>
  <c r="C48" i="33"/>
  <c r="C49" i="33"/>
  <c r="C34" i="33"/>
  <c r="C37" i="33"/>
  <c r="C36" i="33"/>
  <c r="C28" i="33"/>
  <c r="C26" i="33"/>
  <c r="C29" i="33"/>
  <c r="C30" i="33"/>
  <c r="C44" i="33"/>
  <c r="C21" i="33"/>
  <c r="C20" i="33"/>
  <c r="C19" i="33"/>
  <c r="C18" i="33"/>
  <c r="C16" i="33"/>
  <c r="C17" i="33"/>
  <c r="I85" i="33"/>
  <c r="H85" i="33"/>
  <c r="G85" i="33"/>
  <c r="F85" i="33"/>
  <c r="E85" i="33"/>
  <c r="D85" i="33"/>
  <c r="C85" i="33"/>
  <c r="C83" i="33"/>
  <c r="C84" i="33"/>
  <c r="D73" i="33"/>
  <c r="D72" i="33"/>
  <c r="C71" i="33"/>
  <c r="C79" i="33"/>
  <c r="C73" i="33"/>
  <c r="C11" i="33"/>
  <c r="M8" i="31"/>
  <c r="L8" i="31"/>
  <c r="I8" i="31"/>
  <c r="F8" i="31"/>
  <c r="G11" i="14"/>
  <c r="G10" i="14"/>
  <c r="C21" i="14"/>
  <c r="C20" i="14"/>
  <c r="F62" i="14"/>
  <c r="E62" i="14"/>
  <c r="F35" i="14"/>
  <c r="F34" i="14" s="1"/>
  <c r="E9" i="14"/>
  <c r="E32" i="14" s="1"/>
  <c r="F9" i="14"/>
  <c r="G64" i="14"/>
  <c r="G63" i="14"/>
  <c r="G61" i="14"/>
  <c r="G60" i="14"/>
  <c r="G59" i="14"/>
  <c r="G57" i="14"/>
  <c r="G56" i="14"/>
  <c r="G55" i="14"/>
  <c r="G54" i="14"/>
  <c r="G53" i="14"/>
  <c r="G52" i="14"/>
  <c r="G51" i="14"/>
  <c r="G50" i="14"/>
  <c r="G49" i="14"/>
  <c r="G48" i="14"/>
  <c r="G47" i="14"/>
  <c r="G46" i="14"/>
  <c r="G45" i="14"/>
  <c r="G44" i="14"/>
  <c r="G43" i="14"/>
  <c r="G42" i="14"/>
  <c r="G41" i="14"/>
  <c r="G40" i="14"/>
  <c r="G39" i="14"/>
  <c r="G38" i="14"/>
  <c r="G37" i="14"/>
  <c r="G30" i="14"/>
  <c r="G29" i="14"/>
  <c r="G27" i="14"/>
  <c r="G26" i="14"/>
  <c r="G24" i="14"/>
  <c r="G23" i="14"/>
  <c r="G22" i="14"/>
  <c r="G21" i="14"/>
  <c r="G20" i="14"/>
  <c r="G19" i="14"/>
  <c r="G18" i="14"/>
  <c r="G17" i="14"/>
  <c r="G16" i="14"/>
  <c r="G15" i="14"/>
  <c r="G12" i="14"/>
  <c r="F32" i="15"/>
  <c r="F38" i="15"/>
  <c r="E32" i="15"/>
  <c r="E38" i="15"/>
  <c r="F47" i="15"/>
  <c r="E47" i="15"/>
  <c r="G52" i="15"/>
  <c r="G51" i="15"/>
  <c r="G50" i="15"/>
  <c r="G49" i="15"/>
  <c r="G48" i="15"/>
  <c r="G46" i="15"/>
  <c r="G44" i="15"/>
  <c r="G43" i="15"/>
  <c r="G42" i="15"/>
  <c r="G41" i="15"/>
  <c r="G40" i="15"/>
  <c r="G39" i="15"/>
  <c r="G37" i="15"/>
  <c r="G36" i="15"/>
  <c r="G35" i="15"/>
  <c r="G34" i="15"/>
  <c r="G33" i="15"/>
  <c r="G27" i="15"/>
  <c r="G26" i="15"/>
  <c r="G25" i="15"/>
  <c r="G24" i="15"/>
  <c r="G23" i="15"/>
  <c r="G21" i="15"/>
  <c r="G19" i="15"/>
  <c r="G18" i="15"/>
  <c r="G17" i="15"/>
  <c r="G16" i="15"/>
  <c r="G15" i="15"/>
  <c r="G13" i="15"/>
  <c r="G12" i="15"/>
  <c r="G11" i="15"/>
  <c r="G10" i="15"/>
  <c r="E148" i="32"/>
  <c r="E177" i="32"/>
  <c r="E178" i="32"/>
  <c r="E179" i="32"/>
  <c r="E180" i="32"/>
  <c r="E181" i="32"/>
  <c r="E182" i="32"/>
  <c r="D177" i="32"/>
  <c r="E183" i="32" s="1"/>
  <c r="E171" i="32"/>
  <c r="E172" i="32"/>
  <c r="E173" i="32"/>
  <c r="E174" i="32"/>
  <c r="E175" i="32"/>
  <c r="D170" i="32"/>
  <c r="E176" i="32" s="1"/>
  <c r="E170" i="32"/>
  <c r="E163" i="32"/>
  <c r="E164" i="32"/>
  <c r="E165" i="32"/>
  <c r="E166" i="32"/>
  <c r="E167" i="32"/>
  <c r="E168" i="32"/>
  <c r="D159" i="32"/>
  <c r="E169" i="32" s="1"/>
  <c r="E159" i="32"/>
  <c r="E160" i="32"/>
  <c r="E161" i="32"/>
  <c r="E162" i="32"/>
  <c r="E146" i="32"/>
  <c r="E147" i="32"/>
  <c r="E149" i="32"/>
  <c r="E150" i="32"/>
  <c r="E151" i="32"/>
  <c r="E152" i="32"/>
  <c r="E153" i="32"/>
  <c r="E154" i="32"/>
  <c r="E155" i="32"/>
  <c r="D145" i="32"/>
  <c r="E145" i="32"/>
  <c r="E141" i="32"/>
  <c r="E142" i="32"/>
  <c r="D140" i="32"/>
  <c r="D207" i="32" s="1"/>
  <c r="E144" i="32"/>
  <c r="E136" i="32"/>
  <c r="E137" i="32"/>
  <c r="E138" i="32"/>
  <c r="D128" i="32"/>
  <c r="E140" i="32"/>
  <c r="E129" i="32"/>
  <c r="E130" i="32"/>
  <c r="E131" i="32"/>
  <c r="E132" i="32"/>
  <c r="E133" i="32"/>
  <c r="E134" i="32"/>
  <c r="E135" i="32"/>
  <c r="D119" i="32"/>
  <c r="E126" i="32" s="1"/>
  <c r="E127" i="32"/>
  <c r="E128" i="32"/>
  <c r="E124" i="32"/>
  <c r="E125" i="32"/>
  <c r="E121" i="32"/>
  <c r="E122" i="32"/>
  <c r="E123" i="32"/>
  <c r="E120" i="32"/>
  <c r="E119" i="32"/>
  <c r="D109" i="32"/>
  <c r="E117" i="32" s="1"/>
  <c r="E118" i="32"/>
  <c r="E116" i="32"/>
  <c r="E115" i="32"/>
  <c r="E110" i="32"/>
  <c r="E111" i="32"/>
  <c r="E112" i="32"/>
  <c r="E113" i="32"/>
  <c r="E114" i="32"/>
  <c r="E109" i="32"/>
  <c r="D103" i="32"/>
  <c r="E107" i="32" s="1"/>
  <c r="E108" i="32"/>
  <c r="E103" i="32"/>
  <c r="E104" i="32"/>
  <c r="E105" i="32"/>
  <c r="E106" i="32"/>
  <c r="E93" i="32"/>
  <c r="E94" i="32"/>
  <c r="E95" i="32"/>
  <c r="E96" i="32"/>
  <c r="E97" i="32"/>
  <c r="E98" i="32"/>
  <c r="E99" i="32"/>
  <c r="E100" i="32"/>
  <c r="E101" i="32"/>
  <c r="D92" i="32"/>
  <c r="D76" i="32"/>
  <c r="D201" i="32" s="1"/>
  <c r="E92" i="32"/>
  <c r="E77" i="32"/>
  <c r="E78" i="32"/>
  <c r="E79" i="32"/>
  <c r="E80" i="32"/>
  <c r="E81" i="32"/>
  <c r="E82" i="32"/>
  <c r="E83" i="32"/>
  <c r="E84" i="32"/>
  <c r="E85" i="32"/>
  <c r="E86" i="32"/>
  <c r="E87" i="32"/>
  <c r="E88" i="32"/>
  <c r="E89" i="32"/>
  <c r="E90" i="32"/>
  <c r="D62" i="32"/>
  <c r="E75" i="32" s="1"/>
  <c r="E76" i="32"/>
  <c r="E63" i="32"/>
  <c r="E64" i="32"/>
  <c r="E65" i="32"/>
  <c r="E66" i="32"/>
  <c r="E67" i="32"/>
  <c r="E68" i="32"/>
  <c r="E69" i="32"/>
  <c r="E70" i="32"/>
  <c r="E71" i="32"/>
  <c r="E72" i="32"/>
  <c r="E73" i="32"/>
  <c r="E74" i="32"/>
  <c r="E61" i="32"/>
  <c r="E62" i="32"/>
  <c r="E56" i="32"/>
  <c r="E57" i="32"/>
  <c r="E58" i="32"/>
  <c r="E59" i="32"/>
  <c r="D55" i="32"/>
  <c r="D199" i="32" s="1"/>
  <c r="E50" i="32"/>
  <c r="E51" i="32"/>
  <c r="E52" i="32"/>
  <c r="E53" i="32"/>
  <c r="D49" i="32"/>
  <c r="E54" i="32" s="1"/>
  <c r="E55" i="32"/>
  <c r="D38" i="32"/>
  <c r="E49" i="32"/>
  <c r="E43" i="32"/>
  <c r="E44" i="32"/>
  <c r="E45" i="32"/>
  <c r="E46" i="32"/>
  <c r="E47" i="32"/>
  <c r="E39" i="32"/>
  <c r="E40" i="32"/>
  <c r="E41" i="32"/>
  <c r="E42" i="32"/>
  <c r="D31" i="32"/>
  <c r="D196" i="32" s="1"/>
  <c r="E38" i="32"/>
  <c r="E35" i="32"/>
  <c r="E34" i="32"/>
  <c r="E33" i="32"/>
  <c r="E32" i="32"/>
  <c r="C31" i="32"/>
  <c r="C196" i="32" s="1"/>
  <c r="E31" i="32"/>
  <c r="E23" i="32"/>
  <c r="E24" i="32"/>
  <c r="E25" i="32"/>
  <c r="E26" i="32"/>
  <c r="E27" i="32"/>
  <c r="C22" i="32"/>
  <c r="E29" i="32"/>
  <c r="C29" i="32"/>
  <c r="C195" i="32" s="1"/>
  <c r="C14" i="32"/>
  <c r="E22" i="32"/>
  <c r="E20" i="32"/>
  <c r="E19" i="32"/>
  <c r="E18" i="32"/>
  <c r="E17" i="32"/>
  <c r="E16" i="32"/>
  <c r="E15" i="32"/>
  <c r="E14" i="32"/>
  <c r="E11" i="32"/>
  <c r="E12" i="32"/>
  <c r="E10" i="32"/>
  <c r="H7" i="25"/>
  <c r="F7" i="25"/>
  <c r="C71" i="10"/>
  <c r="E35" i="12"/>
  <c r="G7" i="12"/>
  <c r="G7" i="11"/>
  <c r="G7" i="9"/>
  <c r="G6" i="8"/>
  <c r="C63" i="7"/>
  <c r="F7" i="17"/>
  <c r="G7" i="19"/>
  <c r="D6" i="19"/>
  <c r="C72" i="28"/>
  <c r="I72" i="33"/>
  <c r="C88" i="11"/>
  <c r="C89" i="17"/>
  <c r="J6" i="25"/>
  <c r="D28" i="25"/>
  <c r="K10" i="6"/>
  <c r="K30" i="6"/>
  <c r="K42" i="6"/>
  <c r="D37" i="25"/>
  <c r="E36" i="25"/>
  <c r="D36" i="25"/>
  <c r="E35" i="25"/>
  <c r="D35" i="25"/>
  <c r="E34" i="25"/>
  <c r="D34" i="25"/>
  <c r="D32" i="25"/>
  <c r="E31" i="25"/>
  <c r="D31" i="25"/>
  <c r="D30" i="25"/>
  <c r="E29" i="25"/>
  <c r="D29" i="25"/>
  <c r="D27" i="25"/>
  <c r="Q30" i="6"/>
  <c r="D21" i="25"/>
  <c r="E21" i="25"/>
  <c r="E20" i="25"/>
  <c r="D20" i="25"/>
  <c r="E19" i="25"/>
  <c r="D19" i="25"/>
  <c r="E18" i="25"/>
  <c r="D18" i="25"/>
  <c r="D16" i="25"/>
  <c r="D15" i="25"/>
  <c r="E14" i="25"/>
  <c r="D14" i="25"/>
  <c r="E13" i="25"/>
  <c r="D13" i="25"/>
  <c r="E12" i="25"/>
  <c r="D12" i="25"/>
  <c r="E11" i="25"/>
  <c r="D11" i="25"/>
  <c r="Q10" i="6"/>
  <c r="E27" i="25"/>
  <c r="E15" i="25"/>
  <c r="E30" i="25"/>
  <c r="E32" i="25"/>
  <c r="E28" i="25"/>
  <c r="E16" i="25"/>
  <c r="E37" i="25"/>
  <c r="Q42" i="6"/>
  <c r="C68" i="28"/>
  <c r="AH17" i="28"/>
  <c r="AH37" i="28"/>
  <c r="F11" i="13"/>
  <c r="E11" i="13"/>
  <c r="F30" i="9"/>
  <c r="F29" i="9"/>
  <c r="F28" i="9"/>
  <c r="F27" i="9"/>
  <c r="F26" i="9"/>
  <c r="F25" i="9"/>
  <c r="F23" i="9"/>
  <c r="F21" i="9"/>
  <c r="F19" i="9"/>
  <c r="F18" i="9"/>
  <c r="F17" i="9"/>
  <c r="F16" i="9"/>
  <c r="E30" i="9"/>
  <c r="E29" i="9"/>
  <c r="E28" i="9"/>
  <c r="E27" i="9"/>
  <c r="E26" i="9"/>
  <c r="E25" i="9"/>
  <c r="E23" i="9"/>
  <c r="E21" i="9"/>
  <c r="E19" i="9"/>
  <c r="E18" i="9"/>
  <c r="E17" i="9"/>
  <c r="E16" i="9"/>
  <c r="H5" i="12"/>
  <c r="H5" i="11"/>
  <c r="H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33" i="30"/>
  <c r="D22" i="30"/>
  <c r="D7" i="30"/>
  <c r="D20" i="30" s="1"/>
  <c r="T57" i="28"/>
  <c r="T58" i="28"/>
  <c r="T59" i="28"/>
  <c r="T61" i="28"/>
  <c r="T64" i="28"/>
  <c r="T66" i="28"/>
  <c r="T67" i="28"/>
  <c r="T68" i="28"/>
  <c r="T70" i="28"/>
  <c r="T17" i="28" s="1"/>
  <c r="T31" i="28"/>
  <c r="T37" i="28"/>
  <c r="T38" i="28"/>
  <c r="H14" i="33"/>
  <c r="G14" i="33"/>
  <c r="AA33" i="28"/>
  <c r="Y33" i="28"/>
  <c r="E70" i="9"/>
  <c r="F70" i="9"/>
  <c r="E71" i="9"/>
  <c r="E68" i="9" s="1"/>
  <c r="F71" i="9"/>
  <c r="F68" i="9" s="1"/>
  <c r="E10" i="6"/>
  <c r="G10" i="6"/>
  <c r="H10" i="6"/>
  <c r="I10" i="6"/>
  <c r="J10" i="6"/>
  <c r="M10" i="6"/>
  <c r="N10" i="6"/>
  <c r="O10" i="6"/>
  <c r="P10" i="6"/>
  <c r="F52" i="10"/>
  <c r="F14" i="33"/>
  <c r="D33" i="20"/>
  <c r="D32" i="20"/>
  <c r="P42" i="6"/>
  <c r="J42" i="6"/>
  <c r="O42" i="6"/>
  <c r="I42" i="6"/>
  <c r="N42" i="6"/>
  <c r="M42" i="6"/>
  <c r="H42" i="6"/>
  <c r="G42" i="6"/>
  <c r="E42" i="6"/>
  <c r="N30" i="6"/>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E14" i="7"/>
  <c r="F14" i="7"/>
  <c r="D11" i="33"/>
  <c r="D7" i="33"/>
  <c r="H7" i="33"/>
  <c r="G7" i="33"/>
  <c r="F7" i="33"/>
  <c r="E7" i="33"/>
  <c r="C64" i="33"/>
  <c r="C49" i="14"/>
  <c r="Q67" i="6"/>
  <c r="P67" i="6"/>
  <c r="O67" i="6"/>
  <c r="N67" i="6"/>
  <c r="M67" i="6"/>
  <c r="K67" i="6"/>
  <c r="J67" i="6"/>
  <c r="I67" i="6"/>
  <c r="H67" i="6"/>
  <c r="G67" i="6"/>
  <c r="Q8" i="6"/>
  <c r="P8" i="6"/>
  <c r="O8" i="6"/>
  <c r="N8" i="6"/>
  <c r="M8" i="6"/>
  <c r="K8" i="6"/>
  <c r="J8" i="6"/>
  <c r="I8" i="6"/>
  <c r="H8" i="6"/>
  <c r="G8" i="6"/>
  <c r="E8" i="6"/>
  <c r="C16" i="14"/>
  <c r="K107" i="6"/>
  <c r="J107" i="6"/>
  <c r="I107" i="6"/>
  <c r="H107" i="6"/>
  <c r="G107" i="6"/>
  <c r="Q106" i="6"/>
  <c r="P106" i="6"/>
  <c r="O106" i="6"/>
  <c r="N106" i="6"/>
  <c r="M106" i="6"/>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K100" i="6"/>
  <c r="J100" i="6"/>
  <c r="I100" i="6"/>
  <c r="H100" i="6"/>
  <c r="G100" i="6"/>
  <c r="Q99" i="6"/>
  <c r="P99" i="6"/>
  <c r="O99" i="6"/>
  <c r="N99" i="6"/>
  <c r="M99"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K84" i="6"/>
  <c r="J84" i="6"/>
  <c r="I84" i="6"/>
  <c r="H84" i="6"/>
  <c r="G84" i="6"/>
  <c r="Q83" i="6"/>
  <c r="P83" i="6"/>
  <c r="O83" i="6"/>
  <c r="N83" i="6"/>
  <c r="M83"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K77" i="6"/>
  <c r="J77" i="6"/>
  <c r="I77" i="6"/>
  <c r="H77" i="6"/>
  <c r="G77" i="6"/>
  <c r="Q76" i="6"/>
  <c r="P76" i="6"/>
  <c r="O76" i="6"/>
  <c r="N76" i="6"/>
  <c r="M76"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M66" i="6"/>
  <c r="C84" i="12"/>
  <c r="C84" i="11" s="1"/>
  <c r="E14" i="9"/>
  <c r="E14" i="10"/>
  <c r="E12" i="9" s="1"/>
  <c r="F14" i="10"/>
  <c r="F12" i="9" s="1"/>
  <c r="D82" i="27"/>
  <c r="C107" i="6"/>
  <c r="C106" i="6"/>
  <c r="C105" i="6"/>
  <c r="C104" i="6"/>
  <c r="C103" i="6"/>
  <c r="C102" i="6"/>
  <c r="C101" i="6"/>
  <c r="C100" i="6"/>
  <c r="C99" i="6"/>
  <c r="C98" i="6"/>
  <c r="C97" i="6"/>
  <c r="C96" i="6"/>
  <c r="C95" i="6"/>
  <c r="C94" i="6"/>
  <c r="C93" i="6"/>
  <c r="C92" i="6"/>
  <c r="C91" i="6"/>
  <c r="C90" i="6"/>
  <c r="C89" i="6"/>
  <c r="C88" i="6"/>
  <c r="C84" i="6"/>
  <c r="C83" i="6"/>
  <c r="C82" i="6"/>
  <c r="C81" i="6"/>
  <c r="C80" i="6"/>
  <c r="C79" i="6"/>
  <c r="C78" i="6"/>
  <c r="C77" i="6"/>
  <c r="C76" i="6"/>
  <c r="C75" i="6"/>
  <c r="C74" i="6"/>
  <c r="C73" i="6"/>
  <c r="C72" i="6"/>
  <c r="C71" i="6"/>
  <c r="C70" i="6"/>
  <c r="C69" i="6"/>
  <c r="C68" i="6"/>
  <c r="C33" i="6"/>
  <c r="C32" i="6"/>
  <c r="C31" i="6"/>
  <c r="C46" i="6"/>
  <c r="C45" i="6"/>
  <c r="C38" i="6"/>
  <c r="C37" i="6"/>
  <c r="C24" i="6"/>
  <c r="C23" i="6"/>
  <c r="C22" i="6"/>
  <c r="C21" i="6"/>
  <c r="C20" i="6"/>
  <c r="C16" i="6"/>
  <c r="C15" i="6"/>
  <c r="C14" i="6"/>
  <c r="C20" i="25"/>
  <c r="C19" i="25"/>
  <c r="C18" i="25"/>
  <c r="C14" i="25"/>
  <c r="C117" i="6"/>
  <c r="C115" i="6"/>
  <c r="C114" i="6"/>
  <c r="C113" i="6"/>
  <c r="C112" i="6"/>
  <c r="C111" i="6"/>
  <c r="G66" i="6"/>
  <c r="C62"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C221" i="32"/>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G9" i="19"/>
  <c r="H9" i="19"/>
  <c r="G10" i="19"/>
  <c r="H10" i="19"/>
  <c r="G11" i="19"/>
  <c r="H11" i="19"/>
  <c r="G12" i="19"/>
  <c r="H12" i="19"/>
  <c r="G13" i="19"/>
  <c r="H13" i="19"/>
  <c r="G14" i="19"/>
  <c r="H14" i="19"/>
  <c r="G15" i="19"/>
  <c r="H15" i="19"/>
  <c r="G17" i="19"/>
  <c r="G19" i="19"/>
  <c r="H19" i="19"/>
  <c r="G20" i="19"/>
  <c r="H20" i="19"/>
  <c r="G21" i="19"/>
  <c r="H21" i="19"/>
  <c r="G22" i="19"/>
  <c r="H22" i="19"/>
  <c r="G23" i="19"/>
  <c r="H23" i="19"/>
  <c r="G24" i="19"/>
  <c r="H24" i="19"/>
  <c r="G25" i="19"/>
  <c r="H25" i="19"/>
  <c r="G26" i="19"/>
  <c r="H26" i="19"/>
  <c r="G27" i="19"/>
  <c r="H27" i="19"/>
  <c r="G28" i="19"/>
  <c r="H28" i="19"/>
  <c r="G29" i="19"/>
  <c r="H29" i="19"/>
  <c r="G30" i="19"/>
  <c r="H30" i="19"/>
  <c r="G31" i="19"/>
  <c r="H31" i="19"/>
  <c r="G32" i="19"/>
  <c r="H32" i="19"/>
  <c r="G33" i="19"/>
  <c r="H33" i="19"/>
  <c r="G34" i="19"/>
  <c r="H34" i="19"/>
  <c r="G35" i="19"/>
  <c r="H35" i="19"/>
  <c r="G36" i="19"/>
  <c r="H36" i="19"/>
  <c r="G38" i="19"/>
  <c r="G212" i="32"/>
  <c r="G190" i="32"/>
  <c r="G6" i="32"/>
  <c r="G183" i="32"/>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222" i="32"/>
  <c r="C220" i="32"/>
  <c r="C218" i="32"/>
  <c r="E211" i="32"/>
  <c r="E210" i="32"/>
  <c r="E209" i="32"/>
  <c r="E208" i="32"/>
  <c r="E207" i="32"/>
  <c r="E206" i="32"/>
  <c r="E205" i="32"/>
  <c r="E204" i="32"/>
  <c r="E203" i="32"/>
  <c r="E202" i="32"/>
  <c r="E201" i="32"/>
  <c r="E200" i="32"/>
  <c r="E199" i="32"/>
  <c r="E198" i="32"/>
  <c r="E197" i="32"/>
  <c r="E196" i="32"/>
  <c r="E195" i="32"/>
  <c r="E194" i="32"/>
  <c r="E193" i="32"/>
  <c r="E192" i="32"/>
  <c r="F190" i="32"/>
  <c r="E189" i="32"/>
  <c r="D189" i="32"/>
  <c r="C189" i="32"/>
  <c r="C186" i="32"/>
  <c r="C184" i="32"/>
  <c r="C177" i="32"/>
  <c r="C211" i="32" s="1"/>
  <c r="C170" i="32"/>
  <c r="C210" i="32" s="1"/>
  <c r="C159" i="32"/>
  <c r="C209" i="32" s="1"/>
  <c r="C145" i="32"/>
  <c r="C208" i="32" s="1"/>
  <c r="C140" i="32"/>
  <c r="C207" i="32" s="1"/>
  <c r="C128" i="32"/>
  <c r="C206" i="32" s="1"/>
  <c r="C119" i="32"/>
  <c r="C205" i="32" s="1"/>
  <c r="C109" i="32"/>
  <c r="C204" i="32" s="1"/>
  <c r="C103" i="32"/>
  <c r="C203" i="32" s="1"/>
  <c r="C92" i="32"/>
  <c r="C202" i="32" s="1"/>
  <c r="C76" i="32"/>
  <c r="C201" i="32" s="1"/>
  <c r="C62" i="32"/>
  <c r="C200" i="32" s="1"/>
  <c r="D61" i="32"/>
  <c r="C55" i="32"/>
  <c r="C199" i="32" s="1"/>
  <c r="C49" i="32"/>
  <c r="C198" i="32" s="1"/>
  <c r="C38" i="32"/>
  <c r="C197" i="32" s="1"/>
  <c r="D29" i="32"/>
  <c r="D195" i="32" s="1"/>
  <c r="D22" i="32"/>
  <c r="D194" i="32" s="1"/>
  <c r="D14" i="32"/>
  <c r="D193" i="32" s="1"/>
  <c r="E9" i="32"/>
  <c r="E8" i="32"/>
  <c r="D8" i="32"/>
  <c r="D192" i="32" s="1"/>
  <c r="C8" i="32"/>
  <c r="C192" i="32" s="1"/>
  <c r="F6" i="32"/>
  <c r="E5" i="32"/>
  <c r="D5" i="32"/>
  <c r="C5" i="32"/>
  <c r="C12" i="8"/>
  <c r="C10" i="28"/>
  <c r="F183" i="32"/>
  <c r="F212" i="32"/>
  <c r="D81" i="27"/>
  <c r="F24" i="13"/>
  <c r="E24" i="13"/>
  <c r="C53" i="14"/>
  <c r="C48" i="14"/>
  <c r="C25" i="17"/>
  <c r="S11" i="28"/>
  <c r="E35" i="10"/>
  <c r="H4" i="8"/>
  <c r="C77" i="28"/>
  <c r="D77" i="28"/>
  <c r="E4" i="4"/>
  <c r="D57" i="28"/>
  <c r="C57" i="28"/>
  <c r="D59" i="28"/>
  <c r="C59" i="28"/>
  <c r="D72" i="28"/>
  <c r="D57" i="20"/>
  <c r="D67" i="28"/>
  <c r="D68" i="28"/>
  <c r="D35" i="20"/>
  <c r="D59" i="20"/>
  <c r="D76" i="28"/>
  <c r="D83"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H5" i="13"/>
  <c r="C79" i="14"/>
  <c r="D124" i="27"/>
  <c r="D123" i="27"/>
  <c r="D122" i="27"/>
  <c r="D121" i="27"/>
  <c r="D120"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E39" i="10"/>
  <c r="F39" i="10"/>
  <c r="H5" i="10"/>
  <c r="D85" i="28"/>
  <c r="F15" i="11"/>
  <c r="E15" i="11"/>
  <c r="G11" i="10"/>
  <c r="S28" i="28"/>
  <c r="C61" i="28"/>
  <c r="G16" i="13"/>
  <c r="G13" i="13"/>
  <c r="G12" i="13"/>
  <c r="G10" i="13"/>
  <c r="S21" i="28"/>
  <c r="D534" i="27"/>
  <c r="D545" i="27"/>
  <c r="D58" i="28"/>
  <c r="C58" i="28"/>
  <c r="C56" i="28"/>
  <c r="D97" i="27"/>
  <c r="C15" i="10"/>
  <c r="E5" i="28"/>
  <c r="AH39" i="28"/>
  <c r="AH32" i="28"/>
  <c r="AH20" i="28"/>
  <c r="AH19" i="28"/>
  <c r="AH14" i="28"/>
  <c r="AH13" i="28"/>
  <c r="AH11" i="28"/>
  <c r="T39" i="28"/>
  <c r="S39" i="28"/>
  <c r="T32" i="28"/>
  <c r="S32" i="28"/>
  <c r="S26" i="28"/>
  <c r="T20" i="28"/>
  <c r="S20" i="28"/>
  <c r="T19" i="28"/>
  <c r="S19" i="28"/>
  <c r="T14" i="28"/>
  <c r="S14" i="28"/>
  <c r="T13" i="28"/>
  <c r="S13" i="28"/>
  <c r="T11" i="28"/>
  <c r="AG39" i="28"/>
  <c r="AF39" i="28"/>
  <c r="AE39" i="28"/>
  <c r="AD39" i="28"/>
  <c r="AC39" i="28"/>
  <c r="AB39" i="28"/>
  <c r="AA39" i="28"/>
  <c r="Z39" i="28"/>
  <c r="Y39" i="28"/>
  <c r="X39" i="28"/>
  <c r="W39" i="28"/>
  <c r="V39" i="28"/>
  <c r="AG38" i="28"/>
  <c r="AF38" i="28"/>
  <c r="AE38" i="28"/>
  <c r="AD38" i="28"/>
  <c r="AC38" i="28"/>
  <c r="AB38" i="28"/>
  <c r="AA38" i="28"/>
  <c r="Z38" i="28"/>
  <c r="Y38" i="28"/>
  <c r="X38" i="28"/>
  <c r="W38" i="28"/>
  <c r="V38" i="28"/>
  <c r="AG37" i="28"/>
  <c r="AF37" i="28"/>
  <c r="AE37" i="28"/>
  <c r="AD37" i="28"/>
  <c r="AC37" i="28"/>
  <c r="AC36" i="28" s="1"/>
  <c r="AB37" i="28"/>
  <c r="AA37" i="28"/>
  <c r="Z37" i="28"/>
  <c r="Y37" i="28"/>
  <c r="X37" i="28"/>
  <c r="W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B35" i="28"/>
  <c r="AA35" i="28"/>
  <c r="Z35" i="28"/>
  <c r="Y35" i="28"/>
  <c r="X35" i="28"/>
  <c r="W35" i="28"/>
  <c r="V35" i="28"/>
  <c r="R35" i="28"/>
  <c r="Q35" i="28"/>
  <c r="P35" i="28"/>
  <c r="O35" i="28"/>
  <c r="N35" i="28"/>
  <c r="M35" i="28"/>
  <c r="L35" i="28"/>
  <c r="K35" i="28"/>
  <c r="J35" i="28"/>
  <c r="I35" i="28"/>
  <c r="H35" i="28"/>
  <c r="G35" i="28"/>
  <c r="AG33" i="28"/>
  <c r="AF33" i="28"/>
  <c r="AE33" i="28"/>
  <c r="AD33" i="28"/>
  <c r="AC33" i="28"/>
  <c r="AB33" i="28"/>
  <c r="Z33" i="28"/>
  <c r="X33" i="28"/>
  <c r="W33" i="28"/>
  <c r="V33" i="28"/>
  <c r="AG32" i="28"/>
  <c r="AF32" i="28"/>
  <c r="AE32" i="28"/>
  <c r="AD32" i="28"/>
  <c r="AC32" i="28"/>
  <c r="AB32" i="28"/>
  <c r="AA32" i="28"/>
  <c r="Z32" i="28"/>
  <c r="Y32" i="28"/>
  <c r="X32" i="28"/>
  <c r="W32" i="28"/>
  <c r="V32" i="28"/>
  <c r="AG31" i="28"/>
  <c r="AF31" i="28"/>
  <c r="AE31" i="28"/>
  <c r="AD31" i="28"/>
  <c r="AC31" i="28"/>
  <c r="AB31" i="28"/>
  <c r="AA31" i="28"/>
  <c r="Z31" i="28"/>
  <c r="Y31" i="28"/>
  <c r="X31" i="28"/>
  <c r="W31" i="28"/>
  <c r="V31" i="28"/>
  <c r="AG30" i="28"/>
  <c r="AF30" i="28"/>
  <c r="AE30" i="28"/>
  <c r="AD30" i="28"/>
  <c r="AC30" i="28"/>
  <c r="AB30" i="28"/>
  <c r="AB29" i="28" s="1"/>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J30" i="28"/>
  <c r="I30" i="28"/>
  <c r="H30" i="28"/>
  <c r="G30" i="28"/>
  <c r="G29" i="28" s="1"/>
  <c r="AG28" i="28"/>
  <c r="AF28" i="28"/>
  <c r="AE28" i="28"/>
  <c r="AD28" i="28"/>
  <c r="AC28" i="28"/>
  <c r="AB28" i="28"/>
  <c r="AA28" i="28"/>
  <c r="Z28" i="28"/>
  <c r="Y28" i="28"/>
  <c r="X28" i="28"/>
  <c r="W28" i="28"/>
  <c r="V28" i="28"/>
  <c r="AF27" i="28"/>
  <c r="AD27" i="28"/>
  <c r="AC27" i="28"/>
  <c r="AB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B26" i="28"/>
  <c r="AA26" i="28"/>
  <c r="Z26" i="28"/>
  <c r="Y26" i="28"/>
  <c r="X26" i="28"/>
  <c r="W26" i="28"/>
  <c r="R26" i="28"/>
  <c r="Q26" i="28"/>
  <c r="P26" i="28"/>
  <c r="O26" i="28"/>
  <c r="N26" i="28"/>
  <c r="M26" i="28"/>
  <c r="L26" i="28"/>
  <c r="K26" i="28"/>
  <c r="J26" i="28"/>
  <c r="I26" i="28"/>
  <c r="H26" i="28"/>
  <c r="G26" i="28"/>
  <c r="AG21" i="28"/>
  <c r="AF21" i="28"/>
  <c r="AE21" i="28"/>
  <c r="AD21" i="28"/>
  <c r="AC21" i="28"/>
  <c r="AB21" i="28"/>
  <c r="AA21" i="28"/>
  <c r="Z21" i="28"/>
  <c r="Y21" i="28"/>
  <c r="X21" i="28"/>
  <c r="W21" i="28"/>
  <c r="V21" i="28"/>
  <c r="AG20" i="28"/>
  <c r="AF20" i="28"/>
  <c r="AE20" i="28"/>
  <c r="AD20" i="28"/>
  <c r="AC20" i="28"/>
  <c r="AB20" i="28"/>
  <c r="AA20" i="28"/>
  <c r="Z20" i="28"/>
  <c r="Y20" i="28"/>
  <c r="X20" i="28"/>
  <c r="W20" i="28"/>
  <c r="V20" i="28"/>
  <c r="AG19" i="28"/>
  <c r="AF19" i="28"/>
  <c r="AE19" i="28"/>
  <c r="AD19" i="28"/>
  <c r="AC19" i="28"/>
  <c r="AB19" i="28"/>
  <c r="AA19" i="28"/>
  <c r="Z19" i="28"/>
  <c r="Y19" i="28"/>
  <c r="X19" i="28"/>
  <c r="W19" i="28"/>
  <c r="V19" i="28"/>
  <c r="R21" i="28"/>
  <c r="Q21" i="28"/>
  <c r="P21" i="28"/>
  <c r="O21" i="28"/>
  <c r="N21" i="28"/>
  <c r="M21" i="28"/>
  <c r="L21" i="28"/>
  <c r="K21" i="28"/>
  <c r="J21" i="28"/>
  <c r="I21" i="28"/>
  <c r="H21" i="28"/>
  <c r="G21" i="28"/>
  <c r="R20" i="28"/>
  <c r="Q20" i="28"/>
  <c r="P20" i="28"/>
  <c r="O20" i="28"/>
  <c r="N20" i="28"/>
  <c r="M20" i="28"/>
  <c r="L20" i="28"/>
  <c r="K20" i="28"/>
  <c r="J20" i="28"/>
  <c r="I20" i="28"/>
  <c r="H20" i="28"/>
  <c r="G20" i="28"/>
  <c r="R19" i="28"/>
  <c r="Q19" i="28"/>
  <c r="P19" i="28"/>
  <c r="P17" i="28"/>
  <c r="O19" i="28"/>
  <c r="N19" i="28"/>
  <c r="M19" i="28"/>
  <c r="L19" i="28"/>
  <c r="K19" i="28"/>
  <c r="J19" i="28"/>
  <c r="I19" i="28"/>
  <c r="H19" i="28"/>
  <c r="G19" i="28"/>
  <c r="AG17" i="28"/>
  <c r="AF17" i="28"/>
  <c r="AE17" i="28"/>
  <c r="AD17" i="28"/>
  <c r="AC17" i="28"/>
  <c r="AB17" i="28"/>
  <c r="AA17" i="28"/>
  <c r="Z17" i="28"/>
  <c r="Y17" i="28"/>
  <c r="X17" i="28"/>
  <c r="W17" i="28"/>
  <c r="V17" i="28"/>
  <c r="R17" i="28"/>
  <c r="Q17" i="28"/>
  <c r="O17" i="28"/>
  <c r="N17" i="28"/>
  <c r="M17" i="28"/>
  <c r="L17" i="28"/>
  <c r="K17" i="28"/>
  <c r="J17" i="28"/>
  <c r="I17" i="28"/>
  <c r="H17" i="28"/>
  <c r="G17" i="28"/>
  <c r="AG15" i="28"/>
  <c r="AF15" i="28"/>
  <c r="AE15" i="28"/>
  <c r="AD15" i="28"/>
  <c r="AC15" i="28"/>
  <c r="AB15" i="28"/>
  <c r="AA15" i="28"/>
  <c r="Z15" i="28"/>
  <c r="Y15" i="28"/>
  <c r="X15" i="28"/>
  <c r="W15" i="28"/>
  <c r="V15" i="28"/>
  <c r="AG14" i="28"/>
  <c r="AF14" i="28"/>
  <c r="AE14" i="28"/>
  <c r="AD14" i="28"/>
  <c r="AC14" i="28"/>
  <c r="AB14" i="28"/>
  <c r="AA14" i="28"/>
  <c r="Z14" i="28"/>
  <c r="Y14" i="28"/>
  <c r="X14" i="28"/>
  <c r="W14" i="28"/>
  <c r="V14" i="28"/>
  <c r="AG13" i="28"/>
  <c r="AF13" i="28"/>
  <c r="AE13" i="28"/>
  <c r="AD13" i="28"/>
  <c r="AC13" i="28"/>
  <c r="AB13" i="28"/>
  <c r="AA13" i="28"/>
  <c r="Z13" i="28"/>
  <c r="Y13" i="28"/>
  <c r="X13" i="28"/>
  <c r="W13" i="28"/>
  <c r="V13" i="28"/>
  <c r="R14" i="28"/>
  <c r="Q14" i="28"/>
  <c r="P14" i="28"/>
  <c r="O14" i="28"/>
  <c r="N14" i="28"/>
  <c r="M14" i="28"/>
  <c r="L14" i="28"/>
  <c r="K14" i="28"/>
  <c r="J14" i="28"/>
  <c r="I14" i="28"/>
  <c r="H14" i="28"/>
  <c r="G14" i="28"/>
  <c r="R13" i="28"/>
  <c r="Q13" i="28"/>
  <c r="P13" i="28"/>
  <c r="O13" i="28"/>
  <c r="N13" i="28"/>
  <c r="M13" i="28"/>
  <c r="L13" i="28"/>
  <c r="K13" i="28"/>
  <c r="J13" i="28"/>
  <c r="I13" i="28"/>
  <c r="H13" i="28"/>
  <c r="G13" i="28"/>
  <c r="AG11" i="28"/>
  <c r="AF11" i="28"/>
  <c r="AE11" i="28"/>
  <c r="AD11" i="28"/>
  <c r="AC11" i="28"/>
  <c r="AB11" i="28"/>
  <c r="AA11" i="28"/>
  <c r="Z11" i="28"/>
  <c r="Y11" i="28"/>
  <c r="X11" i="28"/>
  <c r="W11" i="28"/>
  <c r="V11" i="28"/>
  <c r="AG10" i="28"/>
  <c r="AF10" i="28"/>
  <c r="AE10" i="28"/>
  <c r="AD10" i="28"/>
  <c r="AC10" i="28"/>
  <c r="AB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B9" i="28"/>
  <c r="AA9" i="28"/>
  <c r="Z9" i="28"/>
  <c r="Y9" i="28"/>
  <c r="X9" i="28"/>
  <c r="W9" i="28"/>
  <c r="V9" i="28"/>
  <c r="R9" i="28"/>
  <c r="Q9" i="28"/>
  <c r="P9" i="28"/>
  <c r="O9" i="28"/>
  <c r="N9" i="28"/>
  <c r="M9" i="28"/>
  <c r="L9" i="28"/>
  <c r="K9" i="28"/>
  <c r="J9" i="28"/>
  <c r="I9" i="28"/>
  <c r="H9" i="28"/>
  <c r="C94" i="28"/>
  <c r="C92" i="28"/>
  <c r="C91" i="28"/>
  <c r="C90" i="28"/>
  <c r="C89"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G53" i="10"/>
  <c r="D70" i="27"/>
  <c r="C592" i="27"/>
  <c r="H5" i="15"/>
  <c r="H5" i="14"/>
  <c r="F30" i="13"/>
  <c r="F36" i="13"/>
  <c r="E36" i="13"/>
  <c r="E30" i="13"/>
  <c r="G42" i="13"/>
  <c r="G41" i="13"/>
  <c r="G40" i="13"/>
  <c r="G39" i="13"/>
  <c r="G38" i="13"/>
  <c r="G35" i="13"/>
  <c r="G34" i="13"/>
  <c r="G33" i="13"/>
  <c r="G32" i="13"/>
  <c r="G31" i="13"/>
  <c r="G25" i="13"/>
  <c r="G22" i="13"/>
  <c r="G21" i="13"/>
  <c r="G20" i="13"/>
  <c r="G19" i="13"/>
  <c r="G18" i="13"/>
  <c r="E52" i="10"/>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7" i="18"/>
  <c r="C12" i="18"/>
  <c r="C11" i="18"/>
  <c r="C23" i="18"/>
  <c r="C13" i="18"/>
  <c r="C19" i="18"/>
  <c r="C29" i="18"/>
  <c r="C27" i="18"/>
  <c r="C25" i="18"/>
  <c r="C26" i="18"/>
  <c r="C20" i="18"/>
  <c r="C18" i="18"/>
  <c r="C16" i="18"/>
  <c r="C15" i="18"/>
  <c r="C14" i="18"/>
  <c r="C10" i="18"/>
  <c r="C9" i="18"/>
  <c r="C24" i="17"/>
  <c r="C35" i="17"/>
  <c r="C34" i="17"/>
  <c r="C33" i="17"/>
  <c r="C21" i="17"/>
  <c r="C19" i="17"/>
  <c r="C31" i="18"/>
  <c r="H5" i="7"/>
  <c r="G47" i="7"/>
  <c r="G45" i="7"/>
  <c r="G43" i="7"/>
  <c r="G39" i="7"/>
  <c r="G38" i="7"/>
  <c r="G37" i="7"/>
  <c r="G35" i="7"/>
  <c r="G33" i="7"/>
  <c r="G32" i="7"/>
  <c r="G31" i="7"/>
  <c r="G24" i="7"/>
  <c r="G22" i="7"/>
  <c r="G20" i="7"/>
  <c r="G16" i="7"/>
  <c r="G15" i="7"/>
  <c r="G13" i="7"/>
  <c r="G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K14" i="24" s="1"/>
  <c r="E14" i="24"/>
  <c r="F13" i="24"/>
  <c r="E13" i="24"/>
  <c r="D56" i="20"/>
  <c r="D55" i="20"/>
  <c r="D53" i="20"/>
  <c r="D52" i="20"/>
  <c r="D51" i="20"/>
  <c r="D50" i="20"/>
  <c r="D49" i="20"/>
  <c r="D48" i="20"/>
  <c r="D47" i="20"/>
  <c r="D46" i="20"/>
  <c r="D45" i="20"/>
  <c r="D44" i="20"/>
  <c r="R41" i="20"/>
  <c r="D31" i="20"/>
  <c r="D30" i="20"/>
  <c r="R7" i="20"/>
  <c r="D6" i="20"/>
  <c r="C42" i="19"/>
  <c r="C40" i="19"/>
  <c r="C38" i="19"/>
  <c r="C36" i="19"/>
  <c r="C35" i="19"/>
  <c r="C34" i="19"/>
  <c r="C33" i="19"/>
  <c r="C32" i="19"/>
  <c r="C31" i="19"/>
  <c r="C30" i="19"/>
  <c r="C29" i="19"/>
  <c r="C28" i="19"/>
  <c r="C27" i="19"/>
  <c r="C26" i="19"/>
  <c r="C25" i="19"/>
  <c r="C24" i="19"/>
  <c r="C23" i="19"/>
  <c r="C22" i="19"/>
  <c r="C21" i="19"/>
  <c r="C20" i="19"/>
  <c r="C19" i="19"/>
  <c r="C17" i="19"/>
  <c r="C15" i="19"/>
  <c r="C14" i="19"/>
  <c r="C13" i="19"/>
  <c r="C12" i="19"/>
  <c r="C11" i="19"/>
  <c r="C10" i="19"/>
  <c r="C9" i="19"/>
  <c r="H7" i="19"/>
  <c r="H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1" i="14"/>
  <c r="C77" i="14"/>
  <c r="C76" i="14"/>
  <c r="C75" i="14"/>
  <c r="C73" i="14"/>
  <c r="C72" i="14"/>
  <c r="C71" i="14"/>
  <c r="C70" i="14"/>
  <c r="C68" i="14"/>
  <c r="C66" i="14"/>
  <c r="C64" i="14"/>
  <c r="C63" i="14"/>
  <c r="C62" i="14"/>
  <c r="C61" i="14"/>
  <c r="C60" i="14"/>
  <c r="C59" i="14"/>
  <c r="C58" i="14"/>
  <c r="C57" i="14"/>
  <c r="C56" i="14"/>
  <c r="C55" i="14"/>
  <c r="C54" i="14"/>
  <c r="C52" i="14"/>
  <c r="C51" i="14"/>
  <c r="C50"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G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G71" i="12"/>
  <c r="C71" i="12"/>
  <c r="G70" i="12"/>
  <c r="C70" i="12"/>
  <c r="C69" i="12"/>
  <c r="C68" i="12"/>
  <c r="C66" i="12"/>
  <c r="C65" i="12"/>
  <c r="C64" i="12"/>
  <c r="C63" i="12"/>
  <c r="C61" i="12"/>
  <c r="C59" i="12"/>
  <c r="C57" i="12"/>
  <c r="G56" i="12"/>
  <c r="C56" i="12"/>
  <c r="G55" i="12"/>
  <c r="C55" i="12"/>
  <c r="G54" i="12"/>
  <c r="C54" i="12"/>
  <c r="G53" i="12"/>
  <c r="C53" i="12"/>
  <c r="G52" i="12"/>
  <c r="C52" i="12"/>
  <c r="F51" i="12"/>
  <c r="E51" i="12"/>
  <c r="C51" i="12"/>
  <c r="G50" i="12"/>
  <c r="C50" i="12"/>
  <c r="C49" i="12"/>
  <c r="C48" i="12"/>
  <c r="G47" i="12"/>
  <c r="C47" i="12"/>
  <c r="G46" i="12"/>
  <c r="C46" i="12"/>
  <c r="G45" i="12"/>
  <c r="C45" i="12"/>
  <c r="G44" i="12"/>
  <c r="C44" i="12"/>
  <c r="G43" i="12"/>
  <c r="C43" i="12"/>
  <c r="G42" i="12"/>
  <c r="C42" i="12"/>
  <c r="F41" i="12"/>
  <c r="E41" i="12"/>
  <c r="C41" i="12"/>
  <c r="G40" i="12"/>
  <c r="C40" i="12"/>
  <c r="G39" i="12"/>
  <c r="C39" i="12"/>
  <c r="G38" i="12"/>
  <c r="C38" i="12"/>
  <c r="G37" i="12"/>
  <c r="C37" i="12"/>
  <c r="G36" i="12"/>
  <c r="C36" i="12"/>
  <c r="F35" i="12"/>
  <c r="C35" i="12"/>
  <c r="C34" i="12"/>
  <c r="C32" i="12"/>
  <c r="C30" i="12"/>
  <c r="G29" i="12"/>
  <c r="C29" i="12"/>
  <c r="G28" i="12"/>
  <c r="C28" i="12"/>
  <c r="G27" i="12"/>
  <c r="C27" i="12"/>
  <c r="G26" i="12"/>
  <c r="C26" i="12"/>
  <c r="G25" i="12"/>
  <c r="C25" i="12"/>
  <c r="F24" i="12"/>
  <c r="E24" i="12"/>
  <c r="C24" i="12"/>
  <c r="G23" i="12"/>
  <c r="C23" i="12"/>
  <c r="C22" i="12"/>
  <c r="C21" i="12"/>
  <c r="G20" i="12"/>
  <c r="C20" i="12"/>
  <c r="G19" i="12"/>
  <c r="C19" i="12"/>
  <c r="G18" i="12"/>
  <c r="C18" i="12"/>
  <c r="G17" i="12"/>
  <c r="C17" i="12"/>
  <c r="C16" i="12"/>
  <c r="C15" i="12"/>
  <c r="G14" i="12"/>
  <c r="C14" i="12"/>
  <c r="G13" i="12"/>
  <c r="C13" i="12"/>
  <c r="G12" i="12"/>
  <c r="C12" i="12"/>
  <c r="G11" i="12"/>
  <c r="C11" i="12"/>
  <c r="F10" i="12"/>
  <c r="E10" i="12"/>
  <c r="C10" i="12"/>
  <c r="C9" i="12"/>
  <c r="C78" i="11"/>
  <c r="C75" i="11"/>
  <c r="C73" i="11"/>
  <c r="C72" i="11"/>
  <c r="G71" i="11"/>
  <c r="C71" i="11"/>
  <c r="G70" i="11"/>
  <c r="C70" i="11"/>
  <c r="C69" i="11"/>
  <c r="C68" i="11"/>
  <c r="C66" i="11"/>
  <c r="C65" i="11"/>
  <c r="C64" i="11"/>
  <c r="C63" i="11"/>
  <c r="C61" i="11"/>
  <c r="C59" i="11"/>
  <c r="C57" i="11"/>
  <c r="G56" i="11"/>
  <c r="C56" i="11"/>
  <c r="C55" i="11"/>
  <c r="G54" i="11"/>
  <c r="C54" i="11"/>
  <c r="C53" i="11"/>
  <c r="C52" i="11"/>
  <c r="C51" i="11"/>
  <c r="G50" i="11"/>
  <c r="C50" i="11"/>
  <c r="C49" i="11"/>
  <c r="C48" i="11"/>
  <c r="G47" i="11"/>
  <c r="C47" i="11"/>
  <c r="G46" i="11"/>
  <c r="C46" i="11"/>
  <c r="C45" i="11"/>
  <c r="G44" i="11"/>
  <c r="C44" i="11"/>
  <c r="C43" i="11"/>
  <c r="G42" i="11"/>
  <c r="C42" i="11"/>
  <c r="C41" i="11"/>
  <c r="G40" i="11"/>
  <c r="C40" i="11"/>
  <c r="G39" i="11"/>
  <c r="C39" i="11"/>
  <c r="G38" i="11"/>
  <c r="C38" i="11"/>
  <c r="G37" i="11"/>
  <c r="C37" i="11"/>
  <c r="G36" i="11"/>
  <c r="C36" i="11"/>
  <c r="F35" i="11"/>
  <c r="E35" i="11"/>
  <c r="C35" i="11"/>
  <c r="C34" i="11"/>
  <c r="C32" i="11"/>
  <c r="C30" i="11"/>
  <c r="G29" i="11"/>
  <c r="C29" i="11"/>
  <c r="G28" i="11"/>
  <c r="C28" i="11"/>
  <c r="G27" i="11"/>
  <c r="C27" i="11"/>
  <c r="G26" i="11"/>
  <c r="C26" i="11"/>
  <c r="G25" i="11"/>
  <c r="C25" i="11"/>
  <c r="F24" i="11"/>
  <c r="E24" i="11"/>
  <c r="C24" i="11"/>
  <c r="G23" i="11"/>
  <c r="C23" i="11"/>
  <c r="C22" i="11"/>
  <c r="C21" i="11"/>
  <c r="G20" i="11"/>
  <c r="C20" i="11"/>
  <c r="G19" i="11"/>
  <c r="C19" i="11"/>
  <c r="G18" i="11"/>
  <c r="C18" i="11"/>
  <c r="G17" i="11"/>
  <c r="C17" i="11"/>
  <c r="G16" i="11"/>
  <c r="C16" i="11"/>
  <c r="C15" i="11"/>
  <c r="G14" i="11"/>
  <c r="C14" i="11"/>
  <c r="G13" i="11"/>
  <c r="C13" i="11"/>
  <c r="G12" i="11"/>
  <c r="C12" i="11"/>
  <c r="G11" i="11"/>
  <c r="C11" i="11"/>
  <c r="F10" i="11"/>
  <c r="E10" i="11"/>
  <c r="C10" i="11"/>
  <c r="C9" i="11"/>
  <c r="C74" i="10"/>
  <c r="C70" i="10"/>
  <c r="G68" i="10"/>
  <c r="C68" i="10"/>
  <c r="G67" i="10"/>
  <c r="C67" i="10"/>
  <c r="G66" i="10"/>
  <c r="C66" i="10"/>
  <c r="G65" i="10"/>
  <c r="C65" i="10"/>
  <c r="F64" i="10"/>
  <c r="C64" i="10"/>
  <c r="C63" i="10"/>
  <c r="C62" i="10"/>
  <c r="C60" i="10"/>
  <c r="G59" i="10"/>
  <c r="C59" i="10"/>
  <c r="G58" i="10"/>
  <c r="C58" i="10"/>
  <c r="G57" i="10"/>
  <c r="C57" i="10"/>
  <c r="G56" i="10"/>
  <c r="C56" i="10"/>
  <c r="G55" i="10"/>
  <c r="C55" i="10"/>
  <c r="C54" i="10"/>
  <c r="C53" i="10"/>
  <c r="C51" i="10"/>
  <c r="G50" i="10"/>
  <c r="C50" i="10"/>
  <c r="G49" i="10"/>
  <c r="C49" i="10"/>
  <c r="G48" i="10"/>
  <c r="C48" i="10"/>
  <c r="G47" i="10"/>
  <c r="C47" i="10"/>
  <c r="G46" i="10"/>
  <c r="C46" i="10"/>
  <c r="C45" i="10"/>
  <c r="G44" i="10"/>
  <c r="C44" i="10"/>
  <c r="G43" i="10"/>
  <c r="C43" i="10"/>
  <c r="G42" i="10"/>
  <c r="C42" i="10"/>
  <c r="G41" i="10"/>
  <c r="C41" i="10"/>
  <c r="G40" i="10"/>
  <c r="C40" i="10"/>
  <c r="C39" i="10"/>
  <c r="G38" i="10"/>
  <c r="C38" i="10"/>
  <c r="G37" i="10"/>
  <c r="C37" i="10"/>
  <c r="G36" i="10"/>
  <c r="C36" i="10"/>
  <c r="F35" i="10"/>
  <c r="G35" i="10" s="1"/>
  <c r="C35" i="10"/>
  <c r="G34" i="10"/>
  <c r="C34" i="10"/>
  <c r="G33" i="10"/>
  <c r="C33" i="10"/>
  <c r="G32" i="10"/>
  <c r="C32" i="10"/>
  <c r="G31" i="10"/>
  <c r="C31" i="10"/>
  <c r="C30" i="10"/>
  <c r="C29" i="10"/>
  <c r="C28" i="10"/>
  <c r="G26" i="10"/>
  <c r="C26" i="10"/>
  <c r="G25" i="10"/>
  <c r="C25" i="10"/>
  <c r="F24" i="10"/>
  <c r="F13" i="9" s="1"/>
  <c r="E24" i="10"/>
  <c r="E13" i="9" s="1"/>
  <c r="C24" i="10"/>
  <c r="G22" i="10"/>
  <c r="C22" i="10"/>
  <c r="G21" i="10"/>
  <c r="C21" i="10"/>
  <c r="G20" i="10"/>
  <c r="C20" i="10"/>
  <c r="G19" i="10"/>
  <c r="C19" i="10"/>
  <c r="G18" i="10"/>
  <c r="C18" i="10"/>
  <c r="G17" i="10"/>
  <c r="C17" i="10"/>
  <c r="G16" i="10"/>
  <c r="C16" i="10"/>
  <c r="G15" i="10"/>
  <c r="C14" i="10"/>
  <c r="G13" i="10"/>
  <c r="C13" i="10"/>
  <c r="G12" i="10"/>
  <c r="C12" i="10"/>
  <c r="C11" i="10"/>
  <c r="F10" i="10"/>
  <c r="F11" i="9" s="1"/>
  <c r="E10" i="10"/>
  <c r="E11" i="9" s="1"/>
  <c r="C10" i="10"/>
  <c r="C9" i="10"/>
  <c r="G7" i="10"/>
  <c r="F6" i="10"/>
  <c r="C78" i="9"/>
  <c r="C72" i="9"/>
  <c r="C71" i="9"/>
  <c r="C70" i="9"/>
  <c r="C69" i="9"/>
  <c r="C68" i="9"/>
  <c r="C66" i="9"/>
  <c r="C65" i="9"/>
  <c r="C64" i="9"/>
  <c r="C63" i="9"/>
  <c r="C61" i="9"/>
  <c r="C59" i="9"/>
  <c r="C57" i="9"/>
  <c r="G56" i="9"/>
  <c r="C56" i="9"/>
  <c r="G55" i="9"/>
  <c r="C55" i="9"/>
  <c r="G54" i="9"/>
  <c r="C54" i="9"/>
  <c r="G53" i="9"/>
  <c r="C53" i="9"/>
  <c r="G52" i="9"/>
  <c r="C52" i="9"/>
  <c r="F51" i="9"/>
  <c r="E51" i="9"/>
  <c r="C51" i="9"/>
  <c r="G50" i="9"/>
  <c r="C50" i="9"/>
  <c r="C49" i="9"/>
  <c r="C48" i="9"/>
  <c r="G47" i="9"/>
  <c r="C47" i="9"/>
  <c r="G46" i="9"/>
  <c r="C46" i="9"/>
  <c r="G45" i="9"/>
  <c r="C45" i="9"/>
  <c r="G44" i="9"/>
  <c r="C44" i="9"/>
  <c r="G43" i="9"/>
  <c r="C43" i="9"/>
  <c r="G42" i="9"/>
  <c r="C42" i="9"/>
  <c r="F41" i="9"/>
  <c r="E41" i="9"/>
  <c r="C41" i="9"/>
  <c r="G40" i="9"/>
  <c r="C40" i="9"/>
  <c r="G39" i="9"/>
  <c r="C39" i="9"/>
  <c r="G38" i="9"/>
  <c r="C38" i="9"/>
  <c r="G37" i="9"/>
  <c r="C37" i="9"/>
  <c r="G36" i="9"/>
  <c r="C36" i="9"/>
  <c r="F35" i="9"/>
  <c r="E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G46" i="8"/>
  <c r="C46" i="8"/>
  <c r="G45" i="8"/>
  <c r="C45" i="8"/>
  <c r="G44" i="8"/>
  <c r="C44" i="8"/>
  <c r="F43" i="8"/>
  <c r="E43" i="8"/>
  <c r="C43" i="8"/>
  <c r="G42" i="8"/>
  <c r="C42" i="8"/>
  <c r="C41" i="8"/>
  <c r="C40" i="8"/>
  <c r="G39" i="8"/>
  <c r="C39" i="8"/>
  <c r="G38" i="8"/>
  <c r="C38" i="8"/>
  <c r="G37" i="8"/>
  <c r="C37" i="8"/>
  <c r="G36" i="8"/>
  <c r="C36" i="8"/>
  <c r="F35" i="8"/>
  <c r="E35" i="8"/>
  <c r="C35" i="8"/>
  <c r="G34" i="8"/>
  <c r="C34" i="8"/>
  <c r="G33" i="8"/>
  <c r="C33" i="8"/>
  <c r="G32" i="8"/>
  <c r="C32" i="8"/>
  <c r="G31" i="8"/>
  <c r="C31" i="8"/>
  <c r="G30" i="8"/>
  <c r="C30" i="8"/>
  <c r="F29" i="8"/>
  <c r="E29" i="8"/>
  <c r="C29" i="8"/>
  <c r="C28" i="8"/>
  <c r="C26" i="8"/>
  <c r="C24" i="8"/>
  <c r="G23" i="8"/>
  <c r="C23" i="8"/>
  <c r="G22" i="8"/>
  <c r="C22" i="8"/>
  <c r="G21" i="8"/>
  <c r="C21" i="8"/>
  <c r="F20" i="8"/>
  <c r="E20" i="8"/>
  <c r="C20" i="8"/>
  <c r="G19" i="8"/>
  <c r="C19" i="8"/>
  <c r="C18" i="8"/>
  <c r="C17" i="8"/>
  <c r="G16" i="8"/>
  <c r="C16" i="8"/>
  <c r="G15" i="8"/>
  <c r="C15" i="8"/>
  <c r="G14" i="8"/>
  <c r="C14" i="8"/>
  <c r="F13" i="8"/>
  <c r="E13" i="8"/>
  <c r="C13" i="8"/>
  <c r="G12" i="8"/>
  <c r="G11" i="8"/>
  <c r="C11" i="8"/>
  <c r="G10" i="8"/>
  <c r="C10" i="8"/>
  <c r="F9" i="8"/>
  <c r="E9" i="8"/>
  <c r="C9" i="8"/>
  <c r="C8" i="8"/>
  <c r="C61" i="7"/>
  <c r="C60" i="7"/>
  <c r="C59" i="7"/>
  <c r="C58" i="7"/>
  <c r="C57" i="7"/>
  <c r="C56" i="7"/>
  <c r="C55" i="7"/>
  <c r="C54" i="7"/>
  <c r="C52" i="7"/>
  <c r="C50" i="7"/>
  <c r="C48" i="7"/>
  <c r="C47" i="7"/>
  <c r="G46" i="7"/>
  <c r="C46" i="7"/>
  <c r="C45" i="7"/>
  <c r="F44" i="7"/>
  <c r="E44" i="7"/>
  <c r="C44" i="7"/>
  <c r="C43" i="7"/>
  <c r="C42" i="7"/>
  <c r="C41" i="7"/>
  <c r="G40" i="7"/>
  <c r="C40" i="7"/>
  <c r="C39" i="7"/>
  <c r="C38" i="7"/>
  <c r="C37" i="7"/>
  <c r="F36" i="7"/>
  <c r="E36" i="7"/>
  <c r="C36" i="7"/>
  <c r="G34" i="7"/>
  <c r="C34" i="7"/>
  <c r="C33" i="7"/>
  <c r="C32" i="7"/>
  <c r="C31" i="7"/>
  <c r="F30" i="7"/>
  <c r="E30" i="7"/>
  <c r="C30" i="7"/>
  <c r="C29" i="7"/>
  <c r="C27" i="7"/>
  <c r="C25" i="7"/>
  <c r="C24" i="7"/>
  <c r="G23" i="7"/>
  <c r="C23" i="7"/>
  <c r="C22" i="7"/>
  <c r="F21" i="7"/>
  <c r="E21" i="7"/>
  <c r="C21" i="7"/>
  <c r="C20" i="7"/>
  <c r="C19" i="7"/>
  <c r="C18" i="7"/>
  <c r="G17" i="7"/>
  <c r="C17" i="7"/>
  <c r="C16" i="7"/>
  <c r="C15" i="7"/>
  <c r="C14" i="7"/>
  <c r="C13" i="7"/>
  <c r="G12" i="7"/>
  <c r="C12" i="7"/>
  <c r="C11" i="7"/>
  <c r="F10" i="7"/>
  <c r="E10" i="7"/>
  <c r="C10" i="7"/>
  <c r="C9" i="7"/>
  <c r="G7" i="7"/>
  <c r="C2" i="6"/>
  <c r="C7" i="4"/>
  <c r="C6" i="4"/>
  <c r="G4" i="4"/>
  <c r="G16" i="12"/>
  <c r="Q10" i="28"/>
  <c r="G15" i="28"/>
  <c r="H31" i="28"/>
  <c r="J15" i="28"/>
  <c r="G23" i="13"/>
  <c r="G45" i="11"/>
  <c r="E41" i="11"/>
  <c r="E51" i="11"/>
  <c r="F51" i="11"/>
  <c r="G55" i="11"/>
  <c r="G43" i="11"/>
  <c r="F41" i="11"/>
  <c r="G53" i="11"/>
  <c r="G52" i="11"/>
  <c r="AE27" i="28"/>
  <c r="I55" i="6"/>
  <c r="E20" i="15"/>
  <c r="S30" i="28"/>
  <c r="C5" i="9"/>
  <c r="C5" i="20"/>
  <c r="C5" i="12"/>
  <c r="C5" i="31"/>
  <c r="G22" i="15"/>
  <c r="F20" i="15"/>
  <c r="E9" i="13"/>
  <c r="AH31" i="28"/>
  <c r="C5" i="18"/>
  <c r="C5" i="10"/>
  <c r="C4" i="8"/>
  <c r="C8" i="24" s="1"/>
  <c r="C5" i="25"/>
  <c r="C6" i="33"/>
  <c r="C65" i="6"/>
  <c r="C5" i="30"/>
  <c r="C5" i="11"/>
  <c r="C5" i="17"/>
  <c r="C5" i="34"/>
  <c r="C5" i="13"/>
  <c r="C5" i="15"/>
  <c r="C5" i="6"/>
  <c r="C5" i="14"/>
  <c r="E14" i="13"/>
  <c r="Z55" i="28" l="1"/>
  <c r="AH55" i="28"/>
  <c r="H69" i="33"/>
  <c r="F19" i="7"/>
  <c r="H81" i="33"/>
  <c r="Y18" i="28"/>
  <c r="S55" i="28"/>
  <c r="I74" i="33"/>
  <c r="I40" i="33"/>
  <c r="I26" i="33"/>
  <c r="I58" i="33"/>
  <c r="I73" i="33"/>
  <c r="I39" i="33"/>
  <c r="I76" i="33"/>
  <c r="I75" i="33"/>
  <c r="I77" i="33"/>
  <c r="I78" i="33"/>
  <c r="D26" i="25"/>
  <c r="G13" i="8"/>
  <c r="AD18" i="28"/>
  <c r="AD16" i="28" s="1"/>
  <c r="W29" i="28"/>
  <c r="D200" i="32"/>
  <c r="D198" i="32"/>
  <c r="G27" i="25"/>
  <c r="I27" i="25" s="1"/>
  <c r="E60" i="32"/>
  <c r="G55" i="28"/>
  <c r="G45" i="10"/>
  <c r="F9" i="10"/>
  <c r="I101" i="6"/>
  <c r="M101" i="6"/>
  <c r="Q89" i="6"/>
  <c r="K9" i="6"/>
  <c r="X36" i="28"/>
  <c r="X34" i="28" s="1"/>
  <c r="G12" i="28"/>
  <c r="G8" i="28" s="1"/>
  <c r="Q18" i="28"/>
  <c r="Q16" i="28" s="1"/>
  <c r="R12" i="28"/>
  <c r="R8" i="28" s="1"/>
  <c r="J12" i="28"/>
  <c r="J8" i="28" s="1"/>
  <c r="AG18" i="28"/>
  <c r="AG16" i="28" s="1"/>
  <c r="J36" i="28"/>
  <c r="AF18" i="28"/>
  <c r="AF16" i="28" s="1"/>
  <c r="L12" i="28"/>
  <c r="L8" i="28" s="1"/>
  <c r="D203" i="32"/>
  <c r="G16" i="25"/>
  <c r="N15" i="34"/>
  <c r="G35" i="11"/>
  <c r="F20" i="9"/>
  <c r="G69" i="6"/>
  <c r="G24" i="11"/>
  <c r="F42" i="7"/>
  <c r="E12" i="24"/>
  <c r="E19" i="7"/>
  <c r="F9" i="7"/>
  <c r="Z18" i="28"/>
  <c r="Z16" i="28" s="1"/>
  <c r="M69" i="6"/>
  <c r="E9" i="11"/>
  <c r="G36" i="28"/>
  <c r="G34" i="28" s="1"/>
  <c r="M9" i="6"/>
  <c r="F34" i="11"/>
  <c r="AE12" i="28"/>
  <c r="AE8" i="28" s="1"/>
  <c r="AE18" i="28"/>
  <c r="AE16" i="28" s="1"/>
  <c r="H36" i="28"/>
  <c r="H34" i="28" s="1"/>
  <c r="G30" i="25"/>
  <c r="I30" i="25" s="1"/>
  <c r="D205" i="32"/>
  <c r="N12" i="28"/>
  <c r="N8" i="28" s="1"/>
  <c r="N36" i="28"/>
  <c r="N34" i="28" s="1"/>
  <c r="Y36" i="28"/>
  <c r="Y34" i="28" s="1"/>
  <c r="G11" i="25"/>
  <c r="I11" i="25" s="1"/>
  <c r="O12" i="28"/>
  <c r="O8" i="28" s="1"/>
  <c r="O36" i="28"/>
  <c r="O34" i="28" s="1"/>
  <c r="W12" i="28"/>
  <c r="W8" i="28" s="1"/>
  <c r="P36" i="28"/>
  <c r="P34" i="28" s="1"/>
  <c r="AA36" i="28"/>
  <c r="AA34" i="28" s="1"/>
  <c r="F41" i="8"/>
  <c r="E8" i="8"/>
  <c r="F8" i="8"/>
  <c r="G9" i="8"/>
  <c r="G19" i="9"/>
  <c r="G70" i="9"/>
  <c r="F49" i="9"/>
  <c r="E34" i="9"/>
  <c r="E49" i="12"/>
  <c r="F22" i="12"/>
  <c r="I16" i="24"/>
  <c r="K36" i="28"/>
  <c r="K34" i="28" s="1"/>
  <c r="V36" i="28"/>
  <c r="V34" i="28" s="1"/>
  <c r="AG29" i="28"/>
  <c r="AG25" i="28" s="1"/>
  <c r="L36" i="28"/>
  <c r="W36" i="28"/>
  <c r="W34" i="28" s="1"/>
  <c r="H15" i="34"/>
  <c r="G12" i="25"/>
  <c r="I12" i="25" s="1"/>
  <c r="N14" i="34"/>
  <c r="V29" i="28"/>
  <c r="V25" i="28" s="1"/>
  <c r="AB36" i="28"/>
  <c r="AB34" i="28" s="1"/>
  <c r="AA12" i="28"/>
  <c r="AA8" i="28" s="1"/>
  <c r="AE36" i="28"/>
  <c r="AE34" i="28" s="1"/>
  <c r="Z29" i="28"/>
  <c r="Z25" i="28" s="1"/>
  <c r="AF36" i="28"/>
  <c r="AF34" i="28" s="1"/>
  <c r="R18" i="28"/>
  <c r="R16" i="28" s="1"/>
  <c r="AC18" i="28"/>
  <c r="AC16" i="28" s="1"/>
  <c r="AA29" i="28"/>
  <c r="AA25" i="28" s="1"/>
  <c r="G18" i="25"/>
  <c r="I18" i="25" s="1"/>
  <c r="G39" i="10"/>
  <c r="AG12" i="28"/>
  <c r="AG8" i="28" s="1"/>
  <c r="T55" i="28"/>
  <c r="T9" i="28"/>
  <c r="V18" i="28"/>
  <c r="V16" i="28" s="1"/>
  <c r="K29" i="28"/>
  <c r="K25" i="28" s="1"/>
  <c r="O29" i="28"/>
  <c r="O25" i="28" s="1"/>
  <c r="V12" i="28"/>
  <c r="V8" i="28" s="1"/>
  <c r="P29" i="28"/>
  <c r="P25" i="28" s="1"/>
  <c r="I18" i="28"/>
  <c r="I16" i="28" s="1"/>
  <c r="E31" i="15"/>
  <c r="G41" i="11"/>
  <c r="G30" i="10"/>
  <c r="G27" i="9"/>
  <c r="G20" i="8"/>
  <c r="G10" i="7"/>
  <c r="E15" i="24"/>
  <c r="I18" i="24"/>
  <c r="G14" i="7"/>
  <c r="I14" i="24"/>
  <c r="K18" i="24"/>
  <c r="E29" i="7"/>
  <c r="C47" i="30"/>
  <c r="G13" i="9"/>
  <c r="G24" i="12"/>
  <c r="G28" i="25"/>
  <c r="I28" i="25" s="1"/>
  <c r="E143" i="32"/>
  <c r="E30" i="32"/>
  <c r="G24" i="10"/>
  <c r="F24" i="9"/>
  <c r="G31" i="25"/>
  <c r="I31" i="25" s="1"/>
  <c r="D209" i="32"/>
  <c r="D210" i="32"/>
  <c r="G54" i="10"/>
  <c r="G29" i="9"/>
  <c r="F9" i="11"/>
  <c r="G18" i="9"/>
  <c r="E15" i="9"/>
  <c r="E24" i="9"/>
  <c r="AG36" i="28"/>
  <c r="AG34" i="28" s="1"/>
  <c r="H29" i="28"/>
  <c r="H25" i="28" s="1"/>
  <c r="I29" i="28"/>
  <c r="I25" i="28" s="1"/>
  <c r="T33" i="28"/>
  <c r="L18" i="28"/>
  <c r="L16" i="28" s="1"/>
  <c r="L29" i="28"/>
  <c r="L25" i="28" s="1"/>
  <c r="AH9" i="28"/>
  <c r="H55" i="28"/>
  <c r="N29" i="28"/>
  <c r="N25" i="28" s="1"/>
  <c r="AH38" i="28"/>
  <c r="AH36" i="28" s="1"/>
  <c r="AH33" i="28"/>
  <c r="R36" i="28"/>
  <c r="R34" i="28" s="1"/>
  <c r="S36" i="28"/>
  <c r="S34" i="28" s="1"/>
  <c r="G101" i="6"/>
  <c r="Q78" i="6"/>
  <c r="G14" i="25"/>
  <c r="I14" i="25" s="1"/>
  <c r="E33" i="25"/>
  <c r="G34" i="25"/>
  <c r="I34" i="25" s="1"/>
  <c r="K55" i="6"/>
  <c r="I29" i="6"/>
  <c r="M29" i="6"/>
  <c r="J29" i="6"/>
  <c r="G20" i="25"/>
  <c r="I20" i="25" s="1"/>
  <c r="G55" i="6"/>
  <c r="E17" i="25"/>
  <c r="D17" i="25"/>
  <c r="N9" i="6"/>
  <c r="I9" i="6"/>
  <c r="J69" i="6"/>
  <c r="E45" i="15"/>
  <c r="E61" i="15" s="1"/>
  <c r="F45" i="15"/>
  <c r="F61" i="15" s="1"/>
  <c r="G32" i="15"/>
  <c r="G9" i="15"/>
  <c r="G36" i="14"/>
  <c r="H19" i="14"/>
  <c r="H29" i="14"/>
  <c r="H15" i="14"/>
  <c r="H25" i="14"/>
  <c r="H30" i="14"/>
  <c r="H9" i="14"/>
  <c r="H11" i="14"/>
  <c r="H28" i="14"/>
  <c r="H23" i="14"/>
  <c r="G30" i="13"/>
  <c r="E29" i="13"/>
  <c r="E8" i="13"/>
  <c r="F9" i="13"/>
  <c r="E22" i="12"/>
  <c r="E9" i="12"/>
  <c r="F49" i="11"/>
  <c r="E49" i="11"/>
  <c r="E34" i="11"/>
  <c r="E22" i="11"/>
  <c r="G10" i="11"/>
  <c r="G35" i="9"/>
  <c r="E41" i="8"/>
  <c r="G29" i="8"/>
  <c r="F18" i="8"/>
  <c r="E18" i="8"/>
  <c r="E42" i="7"/>
  <c r="F29" i="7"/>
  <c r="G21" i="7"/>
  <c r="E9" i="7"/>
  <c r="G36" i="7"/>
  <c r="F15" i="24"/>
  <c r="G43" i="8"/>
  <c r="G15" i="11"/>
  <c r="E28" i="32"/>
  <c r="C194" i="32"/>
  <c r="E48" i="32"/>
  <c r="D197" i="32"/>
  <c r="E102" i="32"/>
  <c r="D202" i="32"/>
  <c r="E139" i="32"/>
  <c r="D206" i="32"/>
  <c r="F31" i="15"/>
  <c r="F8" i="15"/>
  <c r="G9" i="14"/>
  <c r="F32" i="14"/>
  <c r="G14" i="9"/>
  <c r="F9" i="12"/>
  <c r="G10" i="12"/>
  <c r="G51" i="12"/>
  <c r="F49" i="12"/>
  <c r="G28" i="9"/>
  <c r="G35" i="25"/>
  <c r="I35" i="25" s="1"/>
  <c r="G62" i="14"/>
  <c r="T15" i="28"/>
  <c r="G41" i="12"/>
  <c r="G18" i="28"/>
  <c r="G16" i="28" s="1"/>
  <c r="G19" i="25"/>
  <c r="I19" i="25" s="1"/>
  <c r="G29" i="25"/>
  <c r="I29" i="25" s="1"/>
  <c r="H17" i="14"/>
  <c r="H22" i="14"/>
  <c r="H10" i="14"/>
  <c r="H26" i="14"/>
  <c r="G11" i="13"/>
  <c r="K78" i="6"/>
  <c r="G20" i="15"/>
  <c r="G15" i="12"/>
  <c r="AC34" i="28"/>
  <c r="G89" i="6"/>
  <c r="P89" i="6"/>
  <c r="J101" i="6"/>
  <c r="G17" i="13"/>
  <c r="T30" i="28"/>
  <c r="T29" i="28" s="1"/>
  <c r="AH27" i="28"/>
  <c r="H12" i="14"/>
  <c r="H20" i="14"/>
  <c r="H24" i="14"/>
  <c r="H16" i="14"/>
  <c r="H27" i="14"/>
  <c r="F29" i="10"/>
  <c r="F28" i="10" s="1"/>
  <c r="D204" i="32"/>
  <c r="J18" i="28"/>
  <c r="J16" i="28" s="1"/>
  <c r="M18" i="28"/>
  <c r="M16" i="28" s="1"/>
  <c r="AH30" i="28"/>
  <c r="AH29" i="28" s="1"/>
  <c r="I14" i="34"/>
  <c r="S27" i="28"/>
  <c r="F66" i="14"/>
  <c r="G51" i="11"/>
  <c r="N69" i="6"/>
  <c r="G30" i="7"/>
  <c r="D211" i="32"/>
  <c r="E35" i="14"/>
  <c r="K16" i="24"/>
  <c r="I19" i="24"/>
  <c r="Y29" i="28"/>
  <c r="Y25" i="28" s="1"/>
  <c r="P69" i="6"/>
  <c r="O14" i="34"/>
  <c r="F184" i="32"/>
  <c r="F214" i="32" s="1"/>
  <c r="G14" i="14"/>
  <c r="H69" i="6"/>
  <c r="G38" i="15"/>
  <c r="F12" i="24"/>
  <c r="J89" i="6"/>
  <c r="AA18" i="28"/>
  <c r="AA16" i="28" s="1"/>
  <c r="G12" i="9"/>
  <c r="G37" i="25"/>
  <c r="H55" i="6"/>
  <c r="G14" i="10"/>
  <c r="G26" i="9"/>
  <c r="G44" i="7"/>
  <c r="G35" i="12"/>
  <c r="Q55" i="6"/>
  <c r="E37" i="32"/>
  <c r="E28" i="8"/>
  <c r="H18" i="28"/>
  <c r="H16" i="28" s="1"/>
  <c r="G21" i="25"/>
  <c r="M78" i="6"/>
  <c r="F15" i="9"/>
  <c r="T27" i="28"/>
  <c r="F34" i="12"/>
  <c r="G10" i="10"/>
  <c r="G52" i="10"/>
  <c r="H101" i="6"/>
  <c r="J27" i="28"/>
  <c r="AD29" i="28"/>
  <c r="AD25" i="28" s="1"/>
  <c r="G36" i="25"/>
  <c r="I36" i="25" s="1"/>
  <c r="E34" i="12"/>
  <c r="G47" i="15"/>
  <c r="AH10" i="28"/>
  <c r="AH15" i="28"/>
  <c r="S18" i="28"/>
  <c r="S16" i="28" s="1"/>
  <c r="G64" i="10"/>
  <c r="E29" i="10"/>
  <c r="G71" i="9"/>
  <c r="E20" i="9"/>
  <c r="G17" i="9"/>
  <c r="E9" i="10"/>
  <c r="E13" i="32"/>
  <c r="AH12" i="28"/>
  <c r="AH18" i="28"/>
  <c r="AH16" i="28" s="1"/>
  <c r="N101" i="6"/>
  <c r="G29" i="6"/>
  <c r="G78" i="6"/>
  <c r="M55" i="6"/>
  <c r="G13" i="25"/>
  <c r="I13" i="25" s="1"/>
  <c r="I69" i="6"/>
  <c r="P101" i="6"/>
  <c r="E55" i="6"/>
  <c r="O101" i="6"/>
  <c r="E29" i="6"/>
  <c r="G32" i="25"/>
  <c r="P29" i="6"/>
  <c r="H29" i="6"/>
  <c r="M89" i="6"/>
  <c r="K29" i="6"/>
  <c r="N55" i="6"/>
  <c r="N78" i="6"/>
  <c r="H78" i="6"/>
  <c r="J55" i="6"/>
  <c r="P9" i="6"/>
  <c r="H9" i="6"/>
  <c r="G15" i="25"/>
  <c r="I15" i="25" s="1"/>
  <c r="D10" i="25"/>
  <c r="G9" i="6"/>
  <c r="E10" i="25"/>
  <c r="J9" i="6"/>
  <c r="E9" i="6"/>
  <c r="I17" i="24"/>
  <c r="K17" i="24"/>
  <c r="F34" i="9"/>
  <c r="G41" i="9"/>
  <c r="G11" i="9"/>
  <c r="E10" i="9"/>
  <c r="I13" i="24"/>
  <c r="K13" i="24"/>
  <c r="Q69" i="6"/>
  <c r="K69" i="6"/>
  <c r="Q9" i="6"/>
  <c r="N89" i="6"/>
  <c r="H89" i="6"/>
  <c r="N29" i="6"/>
  <c r="E49" i="9"/>
  <c r="G51" i="9"/>
  <c r="H14" i="14"/>
  <c r="F22" i="11"/>
  <c r="F10" i="9"/>
  <c r="G35" i="8"/>
  <c r="G23" i="9"/>
  <c r="G24" i="13"/>
  <c r="G36" i="13"/>
  <c r="F29" i="13"/>
  <c r="K12" i="28"/>
  <c r="K8" i="28" s="1"/>
  <c r="D33" i="25"/>
  <c r="K101" i="6"/>
  <c r="Q101" i="6"/>
  <c r="D208" i="32"/>
  <c r="E158" i="32"/>
  <c r="O9" i="6"/>
  <c r="O69" i="6"/>
  <c r="T10" i="28"/>
  <c r="G16" i="9"/>
  <c r="G25" i="9"/>
  <c r="E8" i="15"/>
  <c r="G14" i="15"/>
  <c r="G28" i="14"/>
  <c r="F28" i="8"/>
  <c r="R29" i="28"/>
  <c r="R25" i="28" s="1"/>
  <c r="AE29" i="28"/>
  <c r="AE25" i="28" s="1"/>
  <c r="Q29" i="6"/>
  <c r="E26" i="25"/>
  <c r="G26" i="25" s="1"/>
  <c r="K89" i="6"/>
  <c r="H21" i="14"/>
  <c r="H18" i="14"/>
  <c r="AB18" i="28"/>
  <c r="AB16" i="28" s="1"/>
  <c r="E21" i="32"/>
  <c r="C193" i="32"/>
  <c r="E36" i="32"/>
  <c r="E91" i="32"/>
  <c r="J78" i="6"/>
  <c r="P55" i="6"/>
  <c r="P78" i="6"/>
  <c r="O29" i="6"/>
  <c r="I89" i="6"/>
  <c r="O89" i="6"/>
  <c r="O15" i="34"/>
  <c r="I15" i="34"/>
  <c r="O55" i="6"/>
  <c r="O78" i="6"/>
  <c r="I78" i="6"/>
  <c r="G184" i="32"/>
  <c r="G214" i="32" s="1"/>
  <c r="M12" i="28"/>
  <c r="M8" i="28" s="1"/>
  <c r="O18" i="28"/>
  <c r="O16" i="28" s="1"/>
  <c r="W18" i="28"/>
  <c r="W16" i="28" s="1"/>
  <c r="G25" i="28"/>
  <c r="M29" i="28"/>
  <c r="M25" i="28" s="1"/>
  <c r="Q36" i="28"/>
  <c r="Q34" i="28" s="1"/>
  <c r="Y16" i="28"/>
  <c r="X18" i="28"/>
  <c r="X16" i="28" s="1"/>
  <c r="AB25" i="28"/>
  <c r="I12" i="28"/>
  <c r="I8" i="28" s="1"/>
  <c r="J29" i="28"/>
  <c r="X29" i="28"/>
  <c r="X25" i="28" s="1"/>
  <c r="M36" i="28"/>
  <c r="M34" i="28" s="1"/>
  <c r="L34" i="28"/>
  <c r="X12" i="28"/>
  <c r="X8" i="28" s="1"/>
  <c r="N18" i="28"/>
  <c r="N16" i="28" s="1"/>
  <c r="AC29" i="28"/>
  <c r="AC25" i="28" s="1"/>
  <c r="J34" i="28"/>
  <c r="Z12" i="28"/>
  <c r="Z8" i="28" s="1"/>
  <c r="Z36" i="28"/>
  <c r="Z34" i="28" s="1"/>
  <c r="Y12" i="28"/>
  <c r="Y8" i="28" s="1"/>
  <c r="AC12" i="28"/>
  <c r="AC8" i="28" s="1"/>
  <c r="W25" i="28"/>
  <c r="AF29" i="28"/>
  <c r="AF25" i="28" s="1"/>
  <c r="AD36" i="28"/>
  <c r="AD34" i="28" s="1"/>
  <c r="AD12" i="28"/>
  <c r="AD8" i="28" s="1"/>
  <c r="AF12" i="28"/>
  <c r="AF8" i="28" s="1"/>
  <c r="T12" i="28"/>
  <c r="T18" i="28"/>
  <c r="T16" i="28" s="1"/>
  <c r="T36" i="28"/>
  <c r="P18" i="28"/>
  <c r="P16" i="28" s="1"/>
  <c r="I36" i="28"/>
  <c r="I34" i="28" s="1"/>
  <c r="Q12" i="28"/>
  <c r="Q8" i="28" s="1"/>
  <c r="H12" i="28"/>
  <c r="H8" i="28" s="1"/>
  <c r="P12" i="28"/>
  <c r="P8" i="28" s="1"/>
  <c r="S12" i="28"/>
  <c r="S8" i="28" s="1"/>
  <c r="I55" i="28"/>
  <c r="Q55" i="28"/>
  <c r="N55" i="28"/>
  <c r="W55" i="28"/>
  <c r="AA55" i="28"/>
  <c r="O55" i="28"/>
  <c r="P55" i="28"/>
  <c r="AE55" i="28"/>
  <c r="M55" i="28"/>
  <c r="AF55" i="28"/>
  <c r="AC55" i="28"/>
  <c r="R55" i="28"/>
  <c r="AB55" i="28"/>
  <c r="V55" i="28"/>
  <c r="AD55" i="28"/>
  <c r="AB12" i="28"/>
  <c r="AB8" i="28" s="1"/>
  <c r="K18" i="28"/>
  <c r="K16" i="28" s="1"/>
  <c r="Q29" i="28"/>
  <c r="Q25" i="28" s="1"/>
  <c r="S29" i="28"/>
  <c r="Y55" i="28"/>
  <c r="L55" i="28"/>
  <c r="AG55" i="28"/>
  <c r="J55" i="28"/>
  <c r="X55" i="28"/>
  <c r="K55" i="28"/>
  <c r="H14" i="34"/>
  <c r="F56" i="7" l="1"/>
  <c r="G19" i="7"/>
  <c r="S25" i="28"/>
  <c r="S41" i="28" s="1"/>
  <c r="S99" i="28" s="1"/>
  <c r="I45" i="33"/>
  <c r="I36" i="33"/>
  <c r="I54" i="33"/>
  <c r="I51" i="33"/>
  <c r="I20" i="33"/>
  <c r="I52" i="33"/>
  <c r="I79" i="33"/>
  <c r="I55" i="33"/>
  <c r="I47" i="33"/>
  <c r="E79" i="33"/>
  <c r="I37" i="33"/>
  <c r="I19" i="33"/>
  <c r="I28" i="33"/>
  <c r="I34" i="33"/>
  <c r="I62" i="33"/>
  <c r="I48" i="33"/>
  <c r="I53" i="33"/>
  <c r="F27" i="7"/>
  <c r="D9" i="25"/>
  <c r="M27" i="6"/>
  <c r="E27" i="13"/>
  <c r="E64" i="11"/>
  <c r="E22" i="24"/>
  <c r="L13" i="24" s="1"/>
  <c r="I12" i="24"/>
  <c r="G8" i="8"/>
  <c r="F62" i="10"/>
  <c r="F64" i="11"/>
  <c r="E32" i="11"/>
  <c r="E55" i="8"/>
  <c r="E44" i="25"/>
  <c r="K27" i="6"/>
  <c r="I27" i="6"/>
  <c r="E50" i="6"/>
  <c r="I54" i="6"/>
  <c r="K54" i="6"/>
  <c r="J50" i="6"/>
  <c r="M50" i="6"/>
  <c r="N27" i="6"/>
  <c r="AC41" i="28"/>
  <c r="AC99" i="28" s="1"/>
  <c r="Y47" i="28"/>
  <c r="E56" i="7"/>
  <c r="G42" i="7"/>
  <c r="F55" i="7"/>
  <c r="F50" i="7"/>
  <c r="K15" i="24"/>
  <c r="G9" i="7"/>
  <c r="N47" i="28"/>
  <c r="N41" i="28"/>
  <c r="N99" i="28" s="1"/>
  <c r="V47" i="28"/>
  <c r="K41" i="28"/>
  <c r="K99" i="28" s="1"/>
  <c r="L46" i="28"/>
  <c r="AA41" i="28"/>
  <c r="AA99" i="28" s="1"/>
  <c r="F54" i="15"/>
  <c r="F58" i="15" s="1"/>
  <c r="G41" i="8"/>
  <c r="E54" i="8"/>
  <c r="F26" i="8"/>
  <c r="F22" i="9"/>
  <c r="F65" i="9" s="1"/>
  <c r="G20" i="9"/>
  <c r="E22" i="9"/>
  <c r="E65" i="9" s="1"/>
  <c r="G22" i="12"/>
  <c r="G9" i="12"/>
  <c r="W41" i="28"/>
  <c r="W99" i="28" s="1"/>
  <c r="F22" i="24"/>
  <c r="E32" i="12"/>
  <c r="G34" i="11"/>
  <c r="I15" i="24"/>
  <c r="W47" i="28"/>
  <c r="D40" i="30"/>
  <c r="K114" i="6"/>
  <c r="O46" i="28"/>
  <c r="M41" i="28"/>
  <c r="M99" i="28" s="1"/>
  <c r="X47" i="28"/>
  <c r="L41" i="28"/>
  <c r="L99" i="28" s="1"/>
  <c r="Z46" i="28"/>
  <c r="X41" i="28"/>
  <c r="X99" i="28" s="1"/>
  <c r="AC47" i="28"/>
  <c r="AA23" i="28"/>
  <c r="AA98" i="28" s="1"/>
  <c r="P47" i="28"/>
  <c r="H41" i="28"/>
  <c r="H99" i="28" s="1"/>
  <c r="G45" i="15"/>
  <c r="E54" i="15"/>
  <c r="H33" i="15" s="1"/>
  <c r="E65" i="11"/>
  <c r="G9" i="11"/>
  <c r="E61" i="11"/>
  <c r="E59" i="11"/>
  <c r="G24" i="9"/>
  <c r="F55" i="8"/>
  <c r="G29" i="7"/>
  <c r="K12" i="24"/>
  <c r="E50" i="7"/>
  <c r="H18" i="13"/>
  <c r="H25" i="13"/>
  <c r="G49" i="11"/>
  <c r="E65" i="12"/>
  <c r="G29" i="10"/>
  <c r="G49" i="12"/>
  <c r="F59" i="11"/>
  <c r="G17" i="25"/>
  <c r="I17" i="25" s="1"/>
  <c r="AG41" i="28"/>
  <c r="AG99" i="28" s="1"/>
  <c r="AG47" i="28"/>
  <c r="AE47" i="28"/>
  <c r="O41" i="28"/>
  <c r="O99" i="28" s="1"/>
  <c r="G41" i="28"/>
  <c r="G99" i="28" s="1"/>
  <c r="AB47" i="28"/>
  <c r="J25" i="28"/>
  <c r="J41" i="28" s="1"/>
  <c r="J99" i="28" s="1"/>
  <c r="L23" i="28"/>
  <c r="L98" i="28" s="1"/>
  <c r="V41" i="28"/>
  <c r="V99" i="28" s="1"/>
  <c r="AH25" i="28"/>
  <c r="O47" i="28"/>
  <c r="AE41" i="28"/>
  <c r="AE99" i="28" s="1"/>
  <c r="P41" i="28"/>
  <c r="P99" i="28" s="1"/>
  <c r="M23" i="28"/>
  <c r="M98" i="28" s="1"/>
  <c r="S47" i="28"/>
  <c r="R47" i="28"/>
  <c r="K50" i="6"/>
  <c r="G88" i="6"/>
  <c r="M54" i="6"/>
  <c r="I50" i="6"/>
  <c r="G114" i="6"/>
  <c r="H68" i="6"/>
  <c r="G31" i="15"/>
  <c r="F60" i="15"/>
  <c r="F29" i="15"/>
  <c r="F68" i="14"/>
  <c r="E45" i="13"/>
  <c r="G9" i="13"/>
  <c r="F65" i="12"/>
  <c r="E64" i="12"/>
  <c r="F32" i="12"/>
  <c r="E49" i="8"/>
  <c r="E26" i="8"/>
  <c r="G18" i="8"/>
  <c r="E27" i="7"/>
  <c r="E55" i="7"/>
  <c r="I41" i="28"/>
  <c r="I99" i="28" s="1"/>
  <c r="AG23" i="28"/>
  <c r="AG98" i="28" s="1"/>
  <c r="G32" i="14"/>
  <c r="Z41" i="28"/>
  <c r="Z99" i="28" s="1"/>
  <c r="H9" i="13"/>
  <c r="H19" i="13"/>
  <c r="K8" i="34"/>
  <c r="J23" i="28"/>
  <c r="J98" i="28" s="1"/>
  <c r="AB41" i="28"/>
  <c r="AB99" i="28" s="1"/>
  <c r="K46" i="28"/>
  <c r="G15" i="9"/>
  <c r="F61" i="12"/>
  <c r="G34" i="12"/>
  <c r="F59" i="12"/>
  <c r="V46" i="28"/>
  <c r="J47" i="28"/>
  <c r="E59" i="12"/>
  <c r="E34" i="14"/>
  <c r="G35" i="14"/>
  <c r="Y41" i="28"/>
  <c r="Y99" i="28" s="1"/>
  <c r="L47" i="28"/>
  <c r="M47" i="28"/>
  <c r="Q47" i="28"/>
  <c r="AE23" i="28"/>
  <c r="AE98" i="28" s="1"/>
  <c r="P68" i="6"/>
  <c r="F64" i="12"/>
  <c r="O23" i="28"/>
  <c r="O98" i="28" s="1"/>
  <c r="I47" i="28"/>
  <c r="W23" i="28"/>
  <c r="W98" i="28" s="1"/>
  <c r="E61" i="12"/>
  <c r="G10" i="25"/>
  <c r="I10" i="25" s="1"/>
  <c r="S23" i="28"/>
  <c r="S98" i="28" s="1"/>
  <c r="E28" i="10"/>
  <c r="G28" i="10" s="1"/>
  <c r="E9" i="9"/>
  <c r="G9" i="10"/>
  <c r="AF41" i="28"/>
  <c r="AF99" i="28" s="1"/>
  <c r="AF47" i="28"/>
  <c r="G50" i="6"/>
  <c r="M88" i="6"/>
  <c r="P27" i="6"/>
  <c r="J68" i="6"/>
  <c r="N54" i="6"/>
  <c r="P50" i="6"/>
  <c r="P88" i="6"/>
  <c r="D25" i="25"/>
  <c r="D43" i="25" s="1"/>
  <c r="J88" i="6"/>
  <c r="H50" i="6"/>
  <c r="J53" i="6"/>
  <c r="I114" i="6"/>
  <c r="J114" i="6"/>
  <c r="H114" i="6"/>
  <c r="E54" i="6"/>
  <c r="E27" i="6"/>
  <c r="M68" i="6"/>
  <c r="G68" i="6"/>
  <c r="G27" i="6"/>
  <c r="G54" i="6"/>
  <c r="H54" i="6"/>
  <c r="H27" i="6"/>
  <c r="J27" i="6"/>
  <c r="J54" i="6"/>
  <c r="P54" i="6"/>
  <c r="N68" i="6"/>
  <c r="H23" i="28"/>
  <c r="H98" i="28" s="1"/>
  <c r="H46" i="28"/>
  <c r="O27" i="6"/>
  <c r="I68" i="6"/>
  <c r="O68" i="6"/>
  <c r="O54" i="6"/>
  <c r="AG46" i="28"/>
  <c r="W46" i="28"/>
  <c r="E25" i="25"/>
  <c r="Q88" i="6"/>
  <c r="Q50" i="6"/>
  <c r="K88" i="6"/>
  <c r="D44" i="25"/>
  <c r="G44" i="25" s="1"/>
  <c r="G33" i="25"/>
  <c r="F32" i="11"/>
  <c r="F65" i="11"/>
  <c r="F61" i="11"/>
  <c r="G22" i="11"/>
  <c r="AA46" i="28"/>
  <c r="E9" i="25"/>
  <c r="Q27" i="6"/>
  <c r="Q54" i="6"/>
  <c r="K68" i="6"/>
  <c r="Q68" i="6"/>
  <c r="G34" i="9"/>
  <c r="F59" i="9"/>
  <c r="O50" i="6"/>
  <c r="I88" i="6"/>
  <c r="O88" i="6"/>
  <c r="R41" i="28"/>
  <c r="R99" i="28" s="1"/>
  <c r="E60" i="15"/>
  <c r="E29" i="15"/>
  <c r="F9" i="9"/>
  <c r="G10" i="9"/>
  <c r="H88" i="6"/>
  <c r="N50" i="6"/>
  <c r="N88" i="6"/>
  <c r="Q41" i="28"/>
  <c r="Q99" i="28" s="1"/>
  <c r="H47" i="28"/>
  <c r="G29" i="13"/>
  <c r="F45" i="13"/>
  <c r="J16" i="34"/>
  <c r="AD41" i="28"/>
  <c r="AD99" i="28" s="1"/>
  <c r="I26" i="25"/>
  <c r="G28" i="8"/>
  <c r="F49" i="8"/>
  <c r="F54" i="8"/>
  <c r="G8" i="15"/>
  <c r="E59" i="9"/>
  <c r="G49" i="9"/>
  <c r="H15" i="13"/>
  <c r="F14" i="13"/>
  <c r="G15" i="13"/>
  <c r="X23" i="28"/>
  <c r="X98" i="28" s="1"/>
  <c r="X46" i="28"/>
  <c r="AC23" i="28"/>
  <c r="AC98" i="28" s="1"/>
  <c r="AC46" i="28"/>
  <c r="AC49" i="28"/>
  <c r="AD23" i="28"/>
  <c r="AD98" i="28" s="1"/>
  <c r="AD46" i="28"/>
  <c r="AD47" i="28"/>
  <c r="AE46" i="28"/>
  <c r="P23" i="28"/>
  <c r="P98" i="28" s="1"/>
  <c r="P46" i="28"/>
  <c r="T34" i="28"/>
  <c r="T47" i="28" s="1"/>
  <c r="G47" i="28"/>
  <c r="AF46" i="28"/>
  <c r="AF23" i="28"/>
  <c r="AF98" i="28" s="1"/>
  <c r="AB46" i="28"/>
  <c r="AB23" i="28"/>
  <c r="AB98" i="28" s="1"/>
  <c r="R46" i="28"/>
  <c r="R23" i="28"/>
  <c r="R98" i="28" s="1"/>
  <c r="G46" i="28"/>
  <c r="T8" i="28"/>
  <c r="G23" i="28"/>
  <c r="G98" i="28" s="1"/>
  <c r="K47" i="28"/>
  <c r="K23" i="28"/>
  <c r="K98" i="28" s="1"/>
  <c r="Q46" i="28"/>
  <c r="Q23" i="28"/>
  <c r="Q98" i="28" s="1"/>
  <c r="I46" i="28"/>
  <c r="I23" i="28"/>
  <c r="I98" i="28" s="1"/>
  <c r="V23" i="28"/>
  <c r="V98" i="28" s="1"/>
  <c r="M46" i="28"/>
  <c r="AH34" i="28"/>
  <c r="AH8" i="28"/>
  <c r="Z47" i="28"/>
  <c r="Z23" i="28"/>
  <c r="Z98" i="28" s="1"/>
  <c r="Y23" i="28"/>
  <c r="Y98" i="28" s="1"/>
  <c r="Y46" i="28"/>
  <c r="N46" i="28"/>
  <c r="N23" i="28"/>
  <c r="N98" i="28" s="1"/>
  <c r="AA47" i="28"/>
  <c r="E81" i="33" l="1"/>
  <c r="L12" i="24"/>
  <c r="L18" i="24"/>
  <c r="F52" i="7"/>
  <c r="H35" i="7"/>
  <c r="I22" i="24"/>
  <c r="H12" i="13"/>
  <c r="H23" i="13"/>
  <c r="E21" i="24"/>
  <c r="L15" i="24"/>
  <c r="L14" i="24"/>
  <c r="L16" i="24"/>
  <c r="I50" i="33"/>
  <c r="I49" i="33"/>
  <c r="I35" i="33"/>
  <c r="I18" i="33"/>
  <c r="I24" i="33"/>
  <c r="I32" i="33"/>
  <c r="H20" i="13"/>
  <c r="H17" i="13"/>
  <c r="H11" i="13"/>
  <c r="H13" i="13"/>
  <c r="H16" i="13"/>
  <c r="H22" i="13"/>
  <c r="H24" i="13"/>
  <c r="H10" i="13"/>
  <c r="H21" i="13"/>
  <c r="H12" i="12"/>
  <c r="H10" i="11"/>
  <c r="H9" i="11"/>
  <c r="H49" i="28"/>
  <c r="D23" i="25"/>
  <c r="L17" i="24"/>
  <c r="M8" i="34"/>
  <c r="I8" i="34" s="1"/>
  <c r="M13" i="34"/>
  <c r="E47" i="13"/>
  <c r="H11" i="12"/>
  <c r="H20" i="12"/>
  <c r="H16" i="12"/>
  <c r="H22" i="12"/>
  <c r="H25" i="12"/>
  <c r="H15" i="12"/>
  <c r="H18" i="12"/>
  <c r="H29" i="12"/>
  <c r="H14" i="12"/>
  <c r="H10" i="12"/>
  <c r="H19" i="12"/>
  <c r="H23" i="12"/>
  <c r="H17" i="12"/>
  <c r="H49" i="11"/>
  <c r="H16" i="11"/>
  <c r="H26" i="11"/>
  <c r="H11" i="11"/>
  <c r="H29" i="11"/>
  <c r="J11" i="34"/>
  <c r="E66" i="11"/>
  <c r="H22" i="11"/>
  <c r="H17" i="11"/>
  <c r="H28" i="11"/>
  <c r="H24" i="11"/>
  <c r="H27" i="11"/>
  <c r="H19" i="11"/>
  <c r="H23" i="11"/>
  <c r="H14" i="11"/>
  <c r="H20" i="11"/>
  <c r="H18" i="11"/>
  <c r="H13" i="11"/>
  <c r="H12" i="11"/>
  <c r="H25" i="11"/>
  <c r="H15" i="11"/>
  <c r="K9" i="34"/>
  <c r="F56" i="15"/>
  <c r="F59" i="15" s="1"/>
  <c r="H26" i="12"/>
  <c r="H28" i="12"/>
  <c r="H24" i="12"/>
  <c r="J12" i="34"/>
  <c r="H27" i="12"/>
  <c r="H9" i="12"/>
  <c r="H13" i="12"/>
  <c r="W49" i="28"/>
  <c r="K113" i="6"/>
  <c r="E53" i="6"/>
  <c r="M52" i="6"/>
  <c r="M53" i="6"/>
  <c r="I52" i="6"/>
  <c r="D39" i="25"/>
  <c r="D41" i="25" s="1"/>
  <c r="D45" i="25" s="1"/>
  <c r="T25" i="28"/>
  <c r="T46" i="28" s="1"/>
  <c r="J43" i="28"/>
  <c r="P49" i="28"/>
  <c r="AG49" i="28"/>
  <c r="AF49" i="28"/>
  <c r="AB49" i="28"/>
  <c r="Y49" i="28"/>
  <c r="N49" i="28"/>
  <c r="X49" i="28"/>
  <c r="AD49" i="28"/>
  <c r="J49" i="28"/>
  <c r="W43" i="28"/>
  <c r="W48" i="28" s="1"/>
  <c r="F54" i="7"/>
  <c r="L49" i="28"/>
  <c r="G50" i="7"/>
  <c r="G22" i="9"/>
  <c r="H29" i="7"/>
  <c r="F21" i="24"/>
  <c r="K21" i="24" s="1"/>
  <c r="K22" i="24"/>
  <c r="H44" i="7"/>
  <c r="H36" i="7"/>
  <c r="H42" i="7"/>
  <c r="G27" i="7"/>
  <c r="V49" i="28"/>
  <c r="K49" i="28"/>
  <c r="M43" i="28"/>
  <c r="M48" i="28" s="1"/>
  <c r="AA49" i="28"/>
  <c r="M49" i="28"/>
  <c r="AA43" i="28"/>
  <c r="AA48" i="28" s="1"/>
  <c r="H37" i="15"/>
  <c r="H34" i="15"/>
  <c r="H43" i="15"/>
  <c r="H39" i="15"/>
  <c r="H32" i="15"/>
  <c r="L13" i="34"/>
  <c r="H36" i="15"/>
  <c r="H38" i="15"/>
  <c r="H45" i="15"/>
  <c r="H52" i="15"/>
  <c r="H50" i="15"/>
  <c r="H51" i="15"/>
  <c r="G54" i="15"/>
  <c r="L9" i="34"/>
  <c r="H19" i="8"/>
  <c r="E32" i="9"/>
  <c r="H18" i="9" s="1"/>
  <c r="H51" i="12"/>
  <c r="G32" i="12"/>
  <c r="E73" i="12"/>
  <c r="H34" i="11"/>
  <c r="H37" i="11"/>
  <c r="H35" i="11"/>
  <c r="H36" i="11"/>
  <c r="H42" i="11"/>
  <c r="H16" i="8"/>
  <c r="H40" i="11"/>
  <c r="K52" i="6"/>
  <c r="G49" i="28"/>
  <c r="Z49" i="28"/>
  <c r="L43" i="28"/>
  <c r="H43" i="28"/>
  <c r="I49" i="28"/>
  <c r="AE49" i="28"/>
  <c r="O43" i="28"/>
  <c r="S46" i="28"/>
  <c r="J46" i="28"/>
  <c r="O49" i="28"/>
  <c r="H49" i="15"/>
  <c r="H35" i="15"/>
  <c r="H41" i="15"/>
  <c r="H40" i="15"/>
  <c r="H48" i="15"/>
  <c r="H42" i="15"/>
  <c r="H31" i="15"/>
  <c r="E58" i="15"/>
  <c r="G58" i="15" s="1"/>
  <c r="H47" i="15"/>
  <c r="H46" i="15"/>
  <c r="H44" i="15"/>
  <c r="H29" i="13"/>
  <c r="L12" i="34"/>
  <c r="H37" i="12"/>
  <c r="H47" i="12"/>
  <c r="H43" i="11"/>
  <c r="H41" i="11"/>
  <c r="H45" i="11"/>
  <c r="H46" i="11"/>
  <c r="H51" i="11"/>
  <c r="H55" i="11"/>
  <c r="H53" i="11"/>
  <c r="H52" i="11"/>
  <c r="E73" i="11"/>
  <c r="L11" i="34"/>
  <c r="H50" i="11"/>
  <c r="E63" i="11"/>
  <c r="H47" i="11"/>
  <c r="H56" i="11"/>
  <c r="H39" i="11"/>
  <c r="H54" i="11"/>
  <c r="H44" i="11"/>
  <c r="H38" i="11"/>
  <c r="E62" i="10"/>
  <c r="H44" i="10" s="1"/>
  <c r="H28" i="8"/>
  <c r="H37" i="8"/>
  <c r="H32" i="8"/>
  <c r="H35" i="8"/>
  <c r="H13" i="8"/>
  <c r="H15" i="8"/>
  <c r="E51" i="8"/>
  <c r="H10" i="8"/>
  <c r="H20" i="8"/>
  <c r="H8" i="8"/>
  <c r="H14" i="8"/>
  <c r="J9" i="34"/>
  <c r="H12" i="8"/>
  <c r="H22" i="8"/>
  <c r="H11" i="8"/>
  <c r="H9" i="8"/>
  <c r="H18" i="8"/>
  <c r="H23" i="8"/>
  <c r="H21" i="8"/>
  <c r="H46" i="7"/>
  <c r="H34" i="7"/>
  <c r="H32" i="7"/>
  <c r="H40" i="7"/>
  <c r="H37" i="7"/>
  <c r="E54" i="7"/>
  <c r="H31" i="7"/>
  <c r="H33" i="7"/>
  <c r="L8" i="34"/>
  <c r="O8" i="34" s="1"/>
  <c r="H30" i="7"/>
  <c r="H38" i="7"/>
  <c r="H39" i="7"/>
  <c r="H43" i="7"/>
  <c r="H45" i="7"/>
  <c r="H47" i="7"/>
  <c r="E52" i="7"/>
  <c r="G25" i="25"/>
  <c r="I25" i="25" s="1"/>
  <c r="M11" i="34"/>
  <c r="G59" i="11"/>
  <c r="F63" i="11"/>
  <c r="E64" i="9"/>
  <c r="Q49" i="28"/>
  <c r="S43" i="28"/>
  <c r="S49" i="28"/>
  <c r="AG43" i="28"/>
  <c r="K53" i="6"/>
  <c r="L16" i="34"/>
  <c r="H16" i="34" s="1"/>
  <c r="I53" i="6"/>
  <c r="H86" i="6"/>
  <c r="H8" i="15"/>
  <c r="K13" i="34"/>
  <c r="F73" i="14"/>
  <c r="H30" i="13"/>
  <c r="H37" i="13"/>
  <c r="H41" i="13"/>
  <c r="H35" i="13"/>
  <c r="H38" i="13"/>
  <c r="H39" i="13"/>
  <c r="H40" i="13"/>
  <c r="H31" i="13"/>
  <c r="H43" i="13"/>
  <c r="H34" i="13"/>
  <c r="H36" i="13"/>
  <c r="H32" i="13"/>
  <c r="H42" i="13"/>
  <c r="H33" i="13"/>
  <c r="H50" i="12"/>
  <c r="G59" i="12"/>
  <c r="H55" i="12"/>
  <c r="H35" i="12"/>
  <c r="H49" i="12"/>
  <c r="H36" i="12"/>
  <c r="H52" i="12"/>
  <c r="H46" i="12"/>
  <c r="H45" i="12"/>
  <c r="H56" i="12"/>
  <c r="H43" i="12"/>
  <c r="H44" i="12"/>
  <c r="H53" i="12"/>
  <c r="E63" i="12"/>
  <c r="E66" i="12"/>
  <c r="K12" i="34"/>
  <c r="N12" i="34" s="1"/>
  <c r="H34" i="9"/>
  <c r="H29" i="8"/>
  <c r="H41" i="8"/>
  <c r="E53" i="8"/>
  <c r="H42" i="8"/>
  <c r="H31" i="8"/>
  <c r="H33" i="8"/>
  <c r="H44" i="8"/>
  <c r="H38" i="8"/>
  <c r="H43" i="8"/>
  <c r="H45" i="8"/>
  <c r="H34" i="8"/>
  <c r="H39" i="8"/>
  <c r="H36" i="8"/>
  <c r="H30" i="8"/>
  <c r="H46" i="8"/>
  <c r="G26" i="8"/>
  <c r="H23" i="7"/>
  <c r="H11" i="7"/>
  <c r="H22" i="7"/>
  <c r="J8" i="34"/>
  <c r="H20" i="7"/>
  <c r="H21" i="7"/>
  <c r="H12" i="7"/>
  <c r="H24" i="7"/>
  <c r="H9" i="7"/>
  <c r="H15" i="7"/>
  <c r="H19" i="7"/>
  <c r="H13" i="7"/>
  <c r="H17" i="7"/>
  <c r="H14" i="7"/>
  <c r="H16" i="7"/>
  <c r="H10" i="7"/>
  <c r="F57" i="7"/>
  <c r="H49" i="9"/>
  <c r="H41" i="12"/>
  <c r="H38" i="12"/>
  <c r="H54" i="12"/>
  <c r="H42" i="12"/>
  <c r="E66" i="14"/>
  <c r="G34" i="14"/>
  <c r="F73" i="12"/>
  <c r="F66" i="12"/>
  <c r="AE43" i="28"/>
  <c r="H40" i="12"/>
  <c r="H34" i="12"/>
  <c r="H39" i="12"/>
  <c r="F63" i="12"/>
  <c r="M12" i="34"/>
  <c r="P52" i="6"/>
  <c r="G53" i="6"/>
  <c r="G109" i="6"/>
  <c r="M109" i="6"/>
  <c r="P53" i="6"/>
  <c r="J109" i="6"/>
  <c r="H53" i="6"/>
  <c r="P109" i="6"/>
  <c r="E52" i="6"/>
  <c r="J113" i="6"/>
  <c r="J52" i="6"/>
  <c r="J56" i="6"/>
  <c r="I113" i="6"/>
  <c r="P86" i="6"/>
  <c r="H113" i="6"/>
  <c r="G113" i="6"/>
  <c r="J86" i="6"/>
  <c r="H52" i="6"/>
  <c r="N86" i="6"/>
  <c r="G86" i="6"/>
  <c r="G52" i="6"/>
  <c r="M86" i="6"/>
  <c r="F63" i="9"/>
  <c r="M10" i="34"/>
  <c r="G59" i="9"/>
  <c r="E43" i="25"/>
  <c r="G43" i="25" s="1"/>
  <c r="G9" i="25"/>
  <c r="F8" i="13"/>
  <c r="H14" i="13"/>
  <c r="G14" i="13"/>
  <c r="J18" i="25"/>
  <c r="J17" i="25"/>
  <c r="J16" i="25"/>
  <c r="J15" i="25"/>
  <c r="J14" i="25"/>
  <c r="J19" i="25"/>
  <c r="J20" i="25"/>
  <c r="J12" i="25"/>
  <c r="J21" i="25"/>
  <c r="J10" i="25"/>
  <c r="J11" i="25"/>
  <c r="J13" i="25"/>
  <c r="H109" i="6"/>
  <c r="N53" i="6"/>
  <c r="N109" i="6"/>
  <c r="N52" i="6"/>
  <c r="F64" i="9"/>
  <c r="F32" i="9"/>
  <c r="G9" i="9"/>
  <c r="F66" i="11"/>
  <c r="F73" i="11"/>
  <c r="P43" i="28"/>
  <c r="O53" i="6"/>
  <c r="I109" i="6"/>
  <c r="O109" i="6"/>
  <c r="I33" i="25"/>
  <c r="K109" i="6"/>
  <c r="E39" i="25"/>
  <c r="Q53" i="6"/>
  <c r="Q56" i="6" s="1"/>
  <c r="Q109" i="6"/>
  <c r="M16" i="34"/>
  <c r="H26" i="15"/>
  <c r="H18" i="15"/>
  <c r="H13" i="15"/>
  <c r="H25" i="15"/>
  <c r="J13" i="34"/>
  <c r="H15" i="15"/>
  <c r="H16" i="15"/>
  <c r="H27" i="15"/>
  <c r="H21" i="15"/>
  <c r="H14" i="15"/>
  <c r="H22" i="15"/>
  <c r="H12" i="15"/>
  <c r="H24" i="15"/>
  <c r="H9" i="15"/>
  <c r="E56" i="15"/>
  <c r="H10" i="15"/>
  <c r="G29" i="15"/>
  <c r="H19" i="15"/>
  <c r="H11" i="15"/>
  <c r="H17" i="15"/>
  <c r="H23" i="15"/>
  <c r="H20" i="15"/>
  <c r="J34" i="25"/>
  <c r="G32" i="11"/>
  <c r="K11" i="34"/>
  <c r="F53" i="8"/>
  <c r="M9" i="34"/>
  <c r="G49" i="8"/>
  <c r="F51" i="8"/>
  <c r="H56" i="9"/>
  <c r="H36" i="9"/>
  <c r="L10" i="34"/>
  <c r="H38" i="9"/>
  <c r="H55" i="9"/>
  <c r="H42" i="9"/>
  <c r="H47" i="9"/>
  <c r="H43" i="9"/>
  <c r="H35" i="9"/>
  <c r="H53" i="9"/>
  <c r="E63" i="9"/>
  <c r="H46" i="9"/>
  <c r="H44" i="9"/>
  <c r="H37" i="9"/>
  <c r="H45" i="9"/>
  <c r="H39" i="9"/>
  <c r="H52" i="9"/>
  <c r="H40" i="9"/>
  <c r="H50" i="9"/>
  <c r="H54" i="9"/>
  <c r="H51" i="9"/>
  <c r="H41" i="9"/>
  <c r="G45" i="13"/>
  <c r="R49" i="28"/>
  <c r="Q86" i="6"/>
  <c r="Q52" i="6"/>
  <c r="K16" i="34"/>
  <c r="E23" i="25"/>
  <c r="K86" i="6"/>
  <c r="O86" i="6"/>
  <c r="O52" i="6"/>
  <c r="I86" i="6"/>
  <c r="X43" i="28"/>
  <c r="AC43" i="28"/>
  <c r="AD43" i="28"/>
  <c r="K43" i="28"/>
  <c r="Z43" i="28"/>
  <c r="T23" i="28"/>
  <c r="T98" i="28" s="1"/>
  <c r="R43" i="28"/>
  <c r="Q43" i="28"/>
  <c r="N43" i="28"/>
  <c r="AH41" i="28"/>
  <c r="AH99" i="28" s="1"/>
  <c r="AH47" i="28"/>
  <c r="V43" i="28"/>
  <c r="AB43" i="28"/>
  <c r="AH23" i="28"/>
  <c r="AH98" i="28" s="1"/>
  <c r="AH46" i="28"/>
  <c r="I43" i="28"/>
  <c r="AF43" i="28"/>
  <c r="J48" i="28"/>
  <c r="Y43" i="28"/>
  <c r="G43" i="28"/>
  <c r="G96" i="28" s="1"/>
  <c r="H54" i="7" l="1"/>
  <c r="H34" i="14"/>
  <c r="I13" i="34"/>
  <c r="O13" i="34"/>
  <c r="I64" i="33"/>
  <c r="F68" i="15"/>
  <c r="E51" i="13"/>
  <c r="H26" i="9"/>
  <c r="T41" i="28"/>
  <c r="T99" i="28" s="1"/>
  <c r="E56" i="6"/>
  <c r="L21" i="24"/>
  <c r="H12" i="34"/>
  <c r="H11" i="34"/>
  <c r="E56" i="8"/>
  <c r="J26" i="25"/>
  <c r="J28" i="25"/>
  <c r="J33" i="25"/>
  <c r="J35" i="25"/>
  <c r="H22" i="10"/>
  <c r="H19" i="9"/>
  <c r="H11" i="9"/>
  <c r="H12" i="9"/>
  <c r="H22" i="9"/>
  <c r="H24" i="9"/>
  <c r="E61" i="9"/>
  <c r="H23" i="9"/>
  <c r="H29" i="9"/>
  <c r="J10" i="34"/>
  <c r="H10" i="34" s="1"/>
  <c r="H15" i="9"/>
  <c r="H13" i="9"/>
  <c r="H9" i="9"/>
  <c r="G62" i="10"/>
  <c r="H46" i="10"/>
  <c r="H20" i="9"/>
  <c r="H27" i="9"/>
  <c r="H16" i="9"/>
  <c r="H17" i="9"/>
  <c r="H28" i="9"/>
  <c r="H14" i="9"/>
  <c r="H25" i="9"/>
  <c r="K56" i="6"/>
  <c r="M56" i="6"/>
  <c r="J36" i="25"/>
  <c r="J32" i="25"/>
  <c r="J27" i="25"/>
  <c r="J29" i="25"/>
  <c r="J25" i="25"/>
  <c r="J37" i="25"/>
  <c r="D42" i="25"/>
  <c r="J30" i="25"/>
  <c r="J31" i="25"/>
  <c r="O56" i="6"/>
  <c r="AG97" i="28"/>
  <c r="AG96" i="28"/>
  <c r="O96" i="28"/>
  <c r="O97" i="28"/>
  <c r="S96" i="28"/>
  <c r="S97" i="28"/>
  <c r="X96" i="28"/>
  <c r="X97" i="28"/>
  <c r="AA96" i="28"/>
  <c r="AA97" i="28"/>
  <c r="H96" i="28"/>
  <c r="H97" i="28"/>
  <c r="W96" i="28"/>
  <c r="W97" i="28"/>
  <c r="L97" i="28"/>
  <c r="L96" i="28"/>
  <c r="M96" i="28"/>
  <c r="M97" i="28"/>
  <c r="AD96" i="28"/>
  <c r="AD97" i="28"/>
  <c r="N97" i="28"/>
  <c r="N96" i="28"/>
  <c r="Q97" i="28"/>
  <c r="Q96" i="28"/>
  <c r="AB96" i="28"/>
  <c r="AB97" i="28"/>
  <c r="R97" i="28"/>
  <c r="R96" i="28"/>
  <c r="V97" i="28"/>
  <c r="V96" i="28"/>
  <c r="G97" i="28"/>
  <c r="I96" i="28"/>
  <c r="I97" i="28"/>
  <c r="Y96" i="28"/>
  <c r="Y97" i="28"/>
  <c r="Z96" i="28"/>
  <c r="Z97" i="28"/>
  <c r="P97" i="28"/>
  <c r="P96" i="28"/>
  <c r="AE97" i="28"/>
  <c r="AE96" i="28"/>
  <c r="K96" i="28"/>
  <c r="K97" i="28"/>
  <c r="J96" i="28"/>
  <c r="J97" i="28"/>
  <c r="AC97" i="28"/>
  <c r="AC96" i="28"/>
  <c r="AF96" i="28"/>
  <c r="AF97" i="28"/>
  <c r="S48" i="28"/>
  <c r="AH49" i="28"/>
  <c r="I21" i="24"/>
  <c r="G54" i="7"/>
  <c r="H9" i="34"/>
  <c r="E57" i="7"/>
  <c r="L48" i="28"/>
  <c r="O48" i="28"/>
  <c r="H10" i="9"/>
  <c r="H8" i="34"/>
  <c r="N9" i="34"/>
  <c r="H33" i="10"/>
  <c r="H57" i="10"/>
  <c r="H42" i="10"/>
  <c r="H40" i="10"/>
  <c r="H31" i="10"/>
  <c r="H26" i="10"/>
  <c r="H35" i="10"/>
  <c r="H48" i="28"/>
  <c r="O11" i="34"/>
  <c r="G63" i="11"/>
  <c r="H53" i="10"/>
  <c r="H43" i="10"/>
  <c r="H55" i="10"/>
  <c r="H38" i="10"/>
  <c r="H28" i="10"/>
  <c r="H24" i="10"/>
  <c r="H50" i="10"/>
  <c r="H10" i="10"/>
  <c r="H54" i="10"/>
  <c r="H52" i="10"/>
  <c r="H30" i="10"/>
  <c r="H34" i="10"/>
  <c r="H41" i="10"/>
  <c r="H12" i="10"/>
  <c r="H39" i="10"/>
  <c r="H16" i="10"/>
  <c r="H37" i="10"/>
  <c r="H21" i="10"/>
  <c r="H13" i="10"/>
  <c r="H58" i="10"/>
  <c r="H15" i="10"/>
  <c r="H32" i="10"/>
  <c r="H18" i="10"/>
  <c r="H45" i="10"/>
  <c r="H56" i="10"/>
  <c r="H25" i="10"/>
  <c r="H17" i="10"/>
  <c r="H36" i="10"/>
  <c r="H11" i="10"/>
  <c r="H14" i="10"/>
  <c r="H19" i="10"/>
  <c r="H47" i="10"/>
  <c r="H48" i="10"/>
  <c r="H29" i="10"/>
  <c r="H59" i="10"/>
  <c r="H20" i="10"/>
  <c r="H49" i="10"/>
  <c r="H9" i="10"/>
  <c r="AG48" i="28"/>
  <c r="O16" i="34"/>
  <c r="G56" i="6"/>
  <c r="I56" i="6"/>
  <c r="H56" i="6"/>
  <c r="J112" i="6"/>
  <c r="I12" i="34"/>
  <c r="F56" i="8"/>
  <c r="N8" i="34"/>
  <c r="G63" i="12"/>
  <c r="O10" i="34"/>
  <c r="AE48" i="28"/>
  <c r="T49" i="28"/>
  <c r="O12" i="34"/>
  <c r="H60" i="14"/>
  <c r="H59" i="14"/>
  <c r="H42" i="14"/>
  <c r="H47" i="14"/>
  <c r="H45" i="14"/>
  <c r="H57" i="14"/>
  <c r="H38" i="14"/>
  <c r="H44" i="14"/>
  <c r="E68" i="14"/>
  <c r="H41" i="14"/>
  <c r="H46" i="14"/>
  <c r="H51" i="14"/>
  <c r="H64" i="14"/>
  <c r="H61" i="14"/>
  <c r="H39" i="14"/>
  <c r="H37" i="14"/>
  <c r="H40" i="14"/>
  <c r="H54" i="14"/>
  <c r="H49" i="14"/>
  <c r="H56" i="14"/>
  <c r="H48" i="14"/>
  <c r="H62" i="14"/>
  <c r="H63" i="14"/>
  <c r="H50" i="14"/>
  <c r="H53" i="14"/>
  <c r="H52" i="14"/>
  <c r="H43" i="14"/>
  <c r="H55" i="14"/>
  <c r="H36" i="14"/>
  <c r="H35" i="14"/>
  <c r="G66" i="14"/>
  <c r="M112" i="6"/>
  <c r="G112" i="6"/>
  <c r="P112" i="6"/>
  <c r="P56" i="6"/>
  <c r="K111" i="6"/>
  <c r="G111" i="6"/>
  <c r="J111" i="6"/>
  <c r="I111" i="6"/>
  <c r="H111" i="6"/>
  <c r="O9" i="34"/>
  <c r="I9" i="34"/>
  <c r="N11" i="34"/>
  <c r="I11" i="34"/>
  <c r="H13" i="34"/>
  <c r="N13" i="34"/>
  <c r="G32" i="9"/>
  <c r="F61" i="9"/>
  <c r="K10" i="34"/>
  <c r="H53" i="8"/>
  <c r="G53" i="8"/>
  <c r="K112" i="6"/>
  <c r="Q112" i="6"/>
  <c r="I9" i="25"/>
  <c r="J9" i="25"/>
  <c r="H8" i="13"/>
  <c r="F27" i="13"/>
  <c r="G8" i="13"/>
  <c r="P48" i="28"/>
  <c r="E41" i="25"/>
  <c r="G23" i="25"/>
  <c r="I23" i="25" s="1"/>
  <c r="E59" i="15"/>
  <c r="E68" i="15"/>
  <c r="E42" i="25"/>
  <c r="G42" i="25" s="1"/>
  <c r="I42" i="25" s="1"/>
  <c r="G39" i="25"/>
  <c r="I39" i="25" s="1"/>
  <c r="O112" i="6"/>
  <c r="I112" i="6"/>
  <c r="N112" i="6"/>
  <c r="H112" i="6"/>
  <c r="N56" i="6"/>
  <c r="I16" i="34"/>
  <c r="N16" i="34"/>
  <c r="G63" i="9"/>
  <c r="AC48" i="28"/>
  <c r="X48" i="28"/>
  <c r="AD48" i="28"/>
  <c r="N48" i="28"/>
  <c r="K48" i="28"/>
  <c r="Y48" i="28"/>
  <c r="AH43" i="28"/>
  <c r="R48" i="28"/>
  <c r="AF48" i="28"/>
  <c r="I48" i="28"/>
  <c r="AB48" i="28"/>
  <c r="Z48" i="28"/>
  <c r="G48" i="28"/>
  <c r="V48" i="28"/>
  <c r="Q48" i="28"/>
  <c r="T43" i="28"/>
  <c r="I69" i="33" l="1"/>
  <c r="K115" i="6"/>
  <c r="E66" i="9"/>
  <c r="G115" i="6"/>
  <c r="AH97" i="28"/>
  <c r="AH96" i="28"/>
  <c r="T97" i="28"/>
  <c r="T96" i="28"/>
  <c r="I115" i="6"/>
  <c r="E73" i="14"/>
  <c r="F66" i="9"/>
  <c r="J115" i="6"/>
  <c r="H115" i="6"/>
  <c r="F47" i="13"/>
  <c r="G27" i="13"/>
  <c r="I10" i="34"/>
  <c r="N10" i="34"/>
  <c r="E45" i="25"/>
  <c r="G45" i="25" s="1"/>
  <c r="G41" i="25"/>
  <c r="T48" i="28"/>
  <c r="AH48" i="28"/>
  <c r="I81" i="33" l="1"/>
  <c r="F51" i="13"/>
  <c r="D55" i="35" l="1"/>
  <c r="D62" i="35" l="1"/>
</calcChain>
</file>

<file path=xl/sharedStrings.xml><?xml version="1.0" encoding="utf-8"?>
<sst xmlns="http://schemas.openxmlformats.org/spreadsheetml/2006/main" count="796" uniqueCount="597">
  <si>
    <t>Escolher Língua :
Choose Language :</t>
  </si>
  <si>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</si>
  <si>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</si>
  <si>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</si>
  <si>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</si>
  <si>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</si>
  <si>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</si>
  <si>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</si>
  <si>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</si>
  <si>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</si>
  <si>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</si>
  <si>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</si>
  <si>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</si>
  <si>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</si>
  <si>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</si>
  <si>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</si>
  <si>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</si>
  <si>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</si>
  <si>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</si>
  <si>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</si>
  <si>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</si>
  <si>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</si>
  <si>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</si>
  <si>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</si>
  <si>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</si>
  <si>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</si>
  <si>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</si>
  <si>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</si>
  <si>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</si>
  <si>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</si>
  <si>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</si>
  <si>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</si>
  <si>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</si>
  <si>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</si>
  <si>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</si>
  <si>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</si>
  <si>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</si>
  <si>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</si>
  <si>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</si>
  <si>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</si>
  <si>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</si>
  <si>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</si>
  <si>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</si>
  <si>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</si>
  <si>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</si>
  <si>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</si>
  <si>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</si>
  <si>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</si>
  <si>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</si>
  <si>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</si>
  <si>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</si>
  <si>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</si>
  <si>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</si>
  <si>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</si>
  <si>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</si>
  <si>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</si>
  <si>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</si>
  <si>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</si>
  <si>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</si>
  <si>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</si>
  <si>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</si>
  <si>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</si>
  <si>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</si>
  <si>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</si>
  <si>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</si>
  <si>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</si>
  <si>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</si>
  <si>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</si>
  <si>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</si>
  <si>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</si>
  <si>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</si>
  <si>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</si>
  <si>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</si>
  <si>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</si>
  <si>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</si>
  <si>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</si>
  <si>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</si>
  <si>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</si>
  <si>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</si>
  <si>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</si>
  <si>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</si>
  <si>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</si>
  <si>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</si>
  <si>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</si>
  <si>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</si>
  <si>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</si>
  <si>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</si>
  <si>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</si>
  <si>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</si>
  <si>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</si>
  <si>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</si>
  <si>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</si>
  <si>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</si>
  <si>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</si>
  <si>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</si>
  <si>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</si>
  <si>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Due to technical reasons, the budget implementation data regarding the Tributary and Customs Authority for February 2020, as well as the budget implementation data regarding the Army and General Staff of the Armed Forces for February 2021, was not fully transposed from the local to the central budget information systems. The required information was later sent by the aforementioned entities.</t>
  </si>
  <si>
    <t>EXÉRCITO a)</t>
  </si>
  <si>
    <t>Instituto Português do Mar e da Atmosfera, I.P. (5854)</t>
  </si>
  <si>
    <t>Gabinete Investigação Acidentes Marítimos Autoridade para a Meteorologia Aeronáutica (4420)</t>
  </si>
  <si>
    <t>Fundo de Compensação Salarial dos Profissionais da Pesca (5942)</t>
  </si>
  <si>
    <t>Fundo Azul (5979)</t>
  </si>
  <si>
    <t>Estrutura de Missão para as Comemorações do V Centenário da CIRCUM-Navegação (4442)</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</si>
  <si>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</si>
  <si>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</si>
  <si>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</si>
  <si>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</si>
  <si>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Ação Governativa - Ministério do Mar (MM) (4399)</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</si>
  <si>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</si>
  <si>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</si>
  <si>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</si>
  <si>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</si>
  <si>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</si>
  <si>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</si>
  <si>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</si>
  <si>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</si>
  <si>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</si>
  <si>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</si>
  <si>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</si>
  <si>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</si>
  <si>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</si>
  <si>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</si>
  <si>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</si>
  <si>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Ação Governativa - Ministério da Agricultura (MA) (4256)</t>
  </si>
  <si>
    <t>Metro - Mondego, S.A. (5904)</t>
  </si>
  <si>
    <t>Laboratório Nacional de Engenharia Civil (5723)</t>
  </si>
  <si>
    <t>Instituto dos Mercados Públicos, do Imobiliário e da Construção (5657)</t>
  </si>
  <si>
    <t>Instituto da Mobilidade e dos Transportes (5749)</t>
  </si>
  <si>
    <t>Infraestruturas de Portugal, S.A. (5791)</t>
  </si>
  <si>
    <t>IHRU - Instituto da Habitação e da Reabilitação Urbana, I.P.. (5013)</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</si>
  <si>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</si>
  <si>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</si>
  <si>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</si>
  <si>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</si>
  <si>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</si>
  <si>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</si>
  <si>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</si>
  <si>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</si>
  <si>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</si>
  <si>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</si>
  <si>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</si>
  <si>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</si>
  <si>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</si>
  <si>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</si>
  <si>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Sudoeste - Sociedade para a Requalificação e Valorização do Sudoeste Alentejano e Costa Vicentina, S.A. (5800)</t>
  </si>
  <si>
    <t>Polis Litoral Ria Formosa, S.A. (5799)</t>
  </si>
  <si>
    <t>Polis Litoral Ria de Aveiro, S.A. (5798)</t>
  </si>
  <si>
    <t>Polis Litoral Norte, S.A. (5797)</t>
  </si>
  <si>
    <t>Nortrem - Aluguer de Material Ferroviário, A.C.E (5026)</t>
  </si>
  <si>
    <r>
      <t xml:space="preserve">Mobi.E, S.A. (5994)           </t>
    </r>
    <r>
      <rPr>
        <b/>
        <sz val="8"/>
        <color rgb="FF000000"/>
        <rFont val="Calibri"/>
        <family val="2"/>
        <scheme val="minor"/>
      </rPr>
      <t>d)</t>
    </r>
  </si>
  <si>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</si>
  <si>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</si>
  <si>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</si>
  <si>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</si>
  <si>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</si>
  <si>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</si>
  <si>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</si>
  <si>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</si>
  <si>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</si>
  <si>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</si>
  <si>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</si>
  <si>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</si>
  <si>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</si>
  <si>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</si>
  <si>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</si>
  <si>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</si>
  <si>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</si>
  <si>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</si>
  <si>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</si>
  <si>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</si>
  <si>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</si>
  <si>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</si>
  <si>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</si>
  <si>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</si>
  <si>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</si>
  <si>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</si>
  <si>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</si>
  <si>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</si>
  <si>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</si>
  <si>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</si>
  <si>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</si>
  <si>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</si>
  <si>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</si>
  <si>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</si>
  <si>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</si>
  <si>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</si>
  <si>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</si>
  <si>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</si>
  <si>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</si>
  <si>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</si>
  <si>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</si>
  <si>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</si>
  <si>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</si>
  <si>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</si>
  <si>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</si>
  <si>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</si>
  <si>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</si>
  <si>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</si>
  <si>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</si>
  <si>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</si>
  <si>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</si>
  <si>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</si>
  <si>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</si>
  <si>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</si>
  <si>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</si>
  <si>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</si>
  <si>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</si>
  <si>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EAS - Empresa Ambiente na Saúde, Tratamento de Resíduos Hospitalares Unipessoal, Lda. (5894)</t>
  </si>
  <si>
    <t>Direção-Geral da Saúde (2194)</t>
  </si>
  <si>
    <t>Centro Médico de Reabilitação da Região Centro - Rovisco Pais (5535)</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</si>
  <si>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</si>
  <si>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</si>
  <si>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</si>
  <si>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</si>
  <si>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</si>
  <si>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</si>
  <si>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</si>
  <si>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</si>
  <si>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</si>
  <si>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</si>
  <si>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</si>
  <si>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</si>
  <si>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</si>
  <si>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</si>
  <si>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</si>
  <si>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</si>
  <si>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</si>
  <si>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</si>
  <si>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</si>
  <si>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</si>
  <si>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da Cova da Beira, E.P.E (6500)</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</si>
  <si>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</si>
  <si>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</si>
  <si>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</si>
  <si>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</si>
  <si>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</si>
  <si>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</si>
  <si>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</si>
  <si>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</si>
  <si>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</si>
  <si>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</si>
  <si>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</si>
  <si>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</si>
  <si>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</si>
  <si>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</si>
  <si>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</si>
  <si>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</si>
  <si>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</si>
  <si>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</si>
  <si>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</si>
  <si>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</si>
  <si>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</si>
  <si>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</si>
  <si>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</si>
  <si>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</si>
  <si>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</si>
  <si>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</si>
  <si>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</si>
  <si>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</si>
  <si>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</si>
  <si>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</si>
  <si>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</si>
  <si>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</si>
  <si>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</si>
  <si>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</si>
  <si>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</si>
  <si>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</si>
  <si>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</si>
  <si>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</si>
  <si>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</si>
  <si>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</si>
  <si>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</si>
  <si>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</si>
  <si>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</si>
  <si>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</si>
  <si>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</si>
  <si>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</si>
  <si>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</si>
  <si>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</si>
  <si>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</si>
  <si>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</si>
  <si>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</si>
  <si>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Português do Desporto e Juventude, I.P. (5844)</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</si>
  <si>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</si>
  <si>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</si>
  <si>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</si>
  <si>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</si>
  <si>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</si>
  <si>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</si>
  <si>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</si>
  <si>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</si>
  <si>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</si>
  <si>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</si>
  <si>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</si>
  <si>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</si>
  <si>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</si>
  <si>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</si>
  <si>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</si>
  <si>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</si>
  <si>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Autoridade para Prevenção e o Combate à Violência no Desporto (4449)</t>
  </si>
  <si>
    <t>Autoridade Anti-Dopagem de Portugal (4459)</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</si>
  <si>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</si>
  <si>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</si>
  <si>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</si>
  <si>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</si>
  <si>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</si>
  <si>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</si>
  <si>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</si>
  <si>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</si>
  <si>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</si>
  <si>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</si>
  <si>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</si>
  <si>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</si>
  <si>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</si>
  <si>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</si>
  <si>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</si>
  <si>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</si>
  <si>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</si>
  <si>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</si>
  <si>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</si>
  <si>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</si>
  <si>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</si>
  <si>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</si>
  <si>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</si>
  <si>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</si>
  <si>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</si>
  <si>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</si>
  <si>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</si>
  <si>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</si>
  <si>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</si>
  <si>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</si>
  <si>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</si>
  <si>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</si>
  <si>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</si>
  <si>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</si>
  <si>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</si>
  <si>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TDC- The Discoveries Centre For Regenerative And Precision Medicine - Associação (5018)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</si>
  <si>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</si>
  <si>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</si>
  <si>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</si>
  <si>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</si>
  <si>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</si>
  <si>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</si>
  <si>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</si>
  <si>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</si>
  <si>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</si>
  <si>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</si>
  <si>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</si>
  <si>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</si>
  <si>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</si>
  <si>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</si>
  <si>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</si>
  <si>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</si>
  <si>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</si>
  <si>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</si>
  <si>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</si>
  <si>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</si>
  <si>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</si>
  <si>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</si>
  <si>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</si>
  <si>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</si>
  <si>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</si>
  <si>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</si>
  <si>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</si>
  <si>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</si>
  <si>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</si>
  <si>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</si>
  <si>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</si>
  <si>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</si>
  <si>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</si>
  <si>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</si>
  <si>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</si>
  <si>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</si>
  <si>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</si>
  <si>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</si>
  <si>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</si>
  <si>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</si>
  <si>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</si>
  <si>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</si>
  <si>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</si>
  <si>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</si>
  <si>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Luís de Molina (5944)</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</si>
  <si>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</si>
  <si>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</si>
  <si>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</si>
  <si>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</si>
  <si>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</si>
  <si>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</si>
  <si>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</si>
  <si>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</si>
  <si>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</si>
  <si>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</si>
  <si>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</si>
  <si>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</si>
  <si>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</si>
  <si>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</si>
  <si>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</si>
  <si>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</si>
  <si>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</si>
  <si>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</si>
  <si>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</si>
  <si>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</si>
  <si>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</si>
  <si>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</si>
  <si>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</si>
  <si>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</si>
  <si>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</si>
  <si>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</si>
  <si>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</si>
  <si>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</si>
  <si>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</si>
  <si>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</si>
  <si>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</si>
  <si>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</si>
  <si>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</si>
  <si>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</si>
  <si>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</si>
  <si>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</si>
  <si>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</si>
  <si>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Secretaria-Geral do Ministério da Justiça (1203)</t>
  </si>
  <si>
    <t>Polícia Judiciária (1223)</t>
  </si>
  <si>
    <t>Instituto Nacional de Medicina Legal e Ciências Forenses, I.P. (5262)</t>
  </si>
  <si>
    <t>Instituto Nacional da Propriedade Industrial, I.P. (5745)</t>
  </si>
  <si>
    <t>Instituto de Gestão Financeira e Equipamentos da Justiça, I.P. (5852)</t>
  </si>
  <si>
    <t>Instituto dos Registos e do Notariado, I.P. (1221)</t>
  </si>
  <si>
    <t>Inspeção-Geral dos Serviços de Justiça (2550)</t>
  </si>
  <si>
    <t>Gabinetes dos Membros do Governo do Ministério da Justiça (4257)</t>
  </si>
  <si>
    <t>Fundo de Modernização da Justiça (5851)</t>
  </si>
  <si>
    <t>Direção-Geral de Reinserção e Serviços Prisionais (4215)</t>
  </si>
  <si>
    <t>Direção-Geral da Política de Justiça (2932)</t>
  </si>
  <si>
    <t>Direção-Geral da Administração da Justiça (1201)</t>
  </si>
  <si>
    <t>Comissão para o Acompanhamento dos Auxiliares de Justiça (5940)</t>
  </si>
  <si>
    <t>Comissão de Proteção de Vítimas de Crimes (3047)</t>
  </si>
  <si>
    <t>Centro de Estudos Judiciários (1281)</t>
  </si>
  <si>
    <t>SIRESP - Gestão de Redes Digitais de Segurança e Emergência. S.A (5023)</t>
  </si>
  <si>
    <t>Serviços Sociais da P.S.P. (5249)</t>
  </si>
  <si>
    <t>Serviços Sociais da G.N.R. (5248)</t>
  </si>
  <si>
    <t>Serviço de Estrangeiros e Fronteiras (1973)</t>
  </si>
  <si>
    <t>Secretaria-Geral do Ministério da Administração Interna (1950)</t>
  </si>
  <si>
    <t>Polícia de Segurança Pública (1974)</t>
  </si>
  <si>
    <t>Inspeção Geral da Administração Interna (1947)</t>
  </si>
  <si>
    <t>Guarda Nacional Republicana (1975)</t>
  </si>
  <si>
    <t>Escola Nacional de Bombeiros (5016)</t>
  </si>
  <si>
    <t>Cofre de Previdência da P.S.P. (5245)</t>
  </si>
  <si>
    <t>Autoridade Nacional de Segurança Rodoviária (2947)</t>
  </si>
  <si>
    <t>Autoridade Nacional de Emergência e Proteção Civil (5738)</t>
  </si>
  <si>
    <t>Ação Governativa - Ministério da Administração Interna (MAI) (4263)</t>
  </si>
  <si>
    <t>Secretaria-Geral do Ministério da Defesa (2343)</t>
  </si>
  <si>
    <t>Polícia Judiciária Militar (2351)</t>
  </si>
  <si>
    <t>Marinha (2791)</t>
  </si>
  <si>
    <t>Laboratório Nacional do Medicamento (4469)</t>
  </si>
  <si>
    <t>Instituto Hidrográfico (5229)</t>
  </si>
  <si>
    <t>Instituto de Defesa Nacional (2350)</t>
  </si>
  <si>
    <t>Instituto de Ação Social das Forças Armadas (5239)</t>
  </si>
  <si>
    <t>Inspeção-geral de Defesa Nacional (2349)</t>
  </si>
  <si>
    <t>IDD - Portugal Defence, S.A. (5888)</t>
  </si>
  <si>
    <t>Gabinete de Membros do Governo do Ministério da Defesa (2342)</t>
  </si>
  <si>
    <t>Força Aérea (2793)</t>
  </si>
  <si>
    <t>EXTRA - Explosivos da Trafaria, S.A. (5889)</t>
  </si>
  <si>
    <t>Exército (2792)</t>
  </si>
  <si>
    <t>Estado-Maior General das Forças Armadas (2790)</t>
  </si>
  <si>
    <r>
      <t xml:space="preserve">EMPORDEF - Engenharia Naval, S.A. (5891)           </t>
    </r>
    <r>
      <rPr>
        <b/>
        <sz val="8"/>
        <color rgb="FF000000"/>
        <rFont val="Calibri"/>
        <family val="2"/>
        <scheme val="minor"/>
      </rPr>
      <t>b)</t>
    </r>
  </si>
  <si>
    <t>Direção-Geral de Recursos da Defesa Nacional (4394)</t>
  </si>
  <si>
    <t>Direção de Política de Defesa Nacional (2344)</t>
  </si>
  <si>
    <t>Arsenal do Alfeite, S.A. (5838)</t>
  </si>
  <si>
    <t>Fundo de Regularização da Dívida Pública (5223)</t>
  </si>
  <si>
    <t>Wil - Projetos Turísticos, S.A. (5978)</t>
  </si>
  <si>
    <t>Unidade Técnica de Acompanhamento e Monitorização do Setor Público Empresarial (4426)</t>
  </si>
  <si>
    <t>Unidade Técnica de Acompanhamento de Projetos (4425)</t>
  </si>
  <si>
    <t>Sistema de Indemnização aos Investidores (5969)</t>
  </si>
  <si>
    <t>Secretaria-Geral do Ministério das Finanças (4432)</t>
  </si>
  <si>
    <t>SAGESECUR - Estudos, Desenvolvimento e Participações em Projetos de Investimento Valores Mobiliários, S.A. (5956)</t>
  </si>
  <si>
    <t>Parvalorem, S.A. (5782)</t>
  </si>
  <si>
    <t>Parups, S.A. (5781)</t>
  </si>
  <si>
    <t>Parpública - Participações Públicas, SGPS, S.A. (5915)</t>
  </si>
  <si>
    <t>Parparticipadas, SGPS, S.A. (5926)</t>
  </si>
  <si>
    <r>
      <t xml:space="preserve">Parbanca SGPS, S.A. (5928)           </t>
    </r>
    <r>
      <rPr>
        <b/>
        <sz val="8"/>
        <color rgb="FF000000"/>
        <rFont val="Calibri"/>
        <family val="2"/>
        <scheme val="minor"/>
      </rPr>
      <t>a)</t>
    </r>
  </si>
  <si>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</si>
  <si>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</si>
  <si>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</si>
  <si>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</si>
  <si>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</si>
  <si>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</si>
  <si>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</si>
  <si>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</si>
  <si>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</si>
  <si>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FRME - Fundo para a Revitalização e Modernização do Tecido Empresarial, SGPS, S.A. (5921)</t>
  </si>
  <si>
    <t>ESTAMO - Participações Imobiliárias, S.A. (5913)</t>
  </si>
  <si>
    <t>Entidade de Serviços Partilhados da Administração Pública, I.P. (5857)</t>
  </si>
  <si>
    <t>Direção-Geral do Orçamento (4434)</t>
  </si>
  <si>
    <t>Direção-Geral de Tesouro e Finanças (4437)</t>
  </si>
  <si>
    <t>CONSEST - Promoção Imobiliária, S.A. (5914)</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</si>
  <si>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</si>
  <si>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</si>
  <si>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</si>
  <si>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</si>
  <si>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</si>
  <si>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</si>
  <si>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Agência de Gestão da Tesouraria e da Dívida Pública - IGCP, E.P.E. (5215)</t>
  </si>
  <si>
    <t>Ação Governativa - Ministério das Finanças (MF) (4235)</t>
  </si>
  <si>
    <r>
      <t xml:space="preserve">Presidência Portuguesa - PPUE 2021 (4452)          </t>
    </r>
    <r>
      <rPr>
        <b/>
        <sz val="8"/>
        <color rgb="FF000000"/>
        <rFont val="Calibri"/>
        <family val="2"/>
        <scheme val="minor"/>
      </rPr>
      <t xml:space="preserve"> e)</t>
    </r>
  </si>
  <si>
    <t>Gestão Administrativa e Financeira do Ministério dos Negócios Estrangeiros (4237)</t>
  </si>
  <si>
    <t>Fundo para as Relações Internacionais, I.P. (5242)</t>
  </si>
  <si>
    <t>Camões - Instituto da Cooperação e da Língua, I.P. (5848)</t>
  </si>
  <si>
    <t>AICEP - Agência para o Investimento e Comércio Externo de Portugal, E.P.E. (5884)</t>
  </si>
  <si>
    <t>Ação Governativa - Ministério dos Negócios Estrageiros (MNE) (4236)</t>
  </si>
  <si>
    <t>Turismo do Porto e Norte de Portugal, E.R. (5907)</t>
  </si>
  <si>
    <t>Turismo do Alentejo, E.R.T. (5910)</t>
  </si>
  <si>
    <t>Turismo Centro de Portugal (5908)</t>
  </si>
  <si>
    <r>
      <t xml:space="preserve">SPGM - Sociedade de Investimento, S.A. (5954)     </t>
    </r>
    <r>
      <rPr>
        <b/>
        <sz val="8"/>
        <color rgb="FF000000"/>
        <rFont val="Calibri"/>
        <family val="2"/>
        <scheme val="minor"/>
      </rPr>
      <t xml:space="preserve">      c)</t>
    </r>
  </si>
  <si>
    <t>Região de Turismo do Algarve (5911)</t>
  </si>
  <si>
    <t>Instituto Português de Acreditação I.P. (5705)</t>
  </si>
  <si>
    <t>Instituto Português da Qualidade, I.P. (5267)</t>
  </si>
  <si>
    <t>Instituto do Turismo de Portugal, I.P. (5277)</t>
  </si>
  <si>
    <r>
      <t xml:space="preserve">Instituição Financeira de Desenvolvimento, S.A. (5952)     </t>
    </r>
    <r>
      <rPr>
        <b/>
        <sz val="8"/>
        <color rgb="FF000000"/>
        <rFont val="Calibri"/>
        <family val="2"/>
        <scheme val="minor"/>
      </rPr>
      <t xml:space="preserve">      c)</t>
    </r>
  </si>
  <si>
    <t>IAPMEI - Agência para a Competitividade e Inovação, I.P. (5266)</t>
  </si>
  <si>
    <t>Gestão Administrativa e Financeira do Ministério da Economia e da Transição Digital (4280)</t>
  </si>
  <si>
    <t>Fundo para a Promoção dos Direitos dos Consumidores (5022)</t>
  </si>
  <si>
    <t>Fundo de Inovação, Tecnologia e Economia Circular (5986)</t>
  </si>
  <si>
    <t>Fundo de Fundos para a Internacionalização (5010)</t>
  </si>
  <si>
    <t>Fundo de Dívidas e Garantias (5985)</t>
  </si>
  <si>
    <t>Fundo de Contragarantia Mútuo (5955)</t>
  </si>
  <si>
    <t>Fundo de Coinvestimento 200M (5007)</t>
  </si>
  <si>
    <t>Fundo de Capital e Quase Capital (5984)</t>
  </si>
  <si>
    <t>Fundo de Apoio ao Turismo e ao Cinema (5006)</t>
  </si>
  <si>
    <t>Entidade Regional de Turismo da Região de Lisboa (5909)</t>
  </si>
  <si>
    <t>ENATUR - Empresa Nacional de Turismo, S.A. (5786)</t>
  </si>
  <si>
    <t>Autoridade da Concorrência, I.P (5690)</t>
  </si>
  <si>
    <t>Agência Nacional de Inovação, S.A. (5953)</t>
  </si>
  <si>
    <t>Ação Governativa - Ministério da Economia e da Transição Digital (METD) (4264)</t>
  </si>
  <si>
    <t>Unidade Nacional do Mecanismo Financeiro do Espaço Económico Europeu (4456)</t>
  </si>
  <si>
    <t>Serviços Sociais da Administração Pública (5739)</t>
  </si>
  <si>
    <t>Serviço de Informações Estratégicas de Defesa (5227)</t>
  </si>
  <si>
    <t>Serviço de Informações de Segurança (5247)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</si>
  <si>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</si>
  <si>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</si>
  <si>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</si>
  <si>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</si>
  <si>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Planeamento (4454)</t>
  </si>
  <si>
    <t>Gabinetes dos Membros do Governo - Coesão Territorial (4455)</t>
  </si>
  <si>
    <t>Gabinete do Secretário-Geral Estruturas Comuns ao SIED e SIS (5753)</t>
  </si>
  <si>
    <t>Fundo para a Inovação Social (5009)</t>
  </si>
  <si>
    <t>Fundo de Apoio Municipal (5949)</t>
  </si>
  <si>
    <t>Fundação Luso-Americana para o Desenvolvimento (5886)</t>
  </si>
  <si>
    <t>Instituto Nacional de Administração, I.P. (5032)</t>
  </si>
  <si>
    <t>Direção-Geral da Autarquias Locais (4445)</t>
  </si>
  <si>
    <t>Direção-Geral da Administração e do Emprego Público (4436)</t>
  </si>
  <si>
    <t>Comissão de Recrutamento e Seleção para a AP - CRESAP (4424)</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</si>
  <si>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</si>
  <si>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</si>
  <si>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</si>
  <si>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</si>
  <si>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</si>
  <si>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Alto Comissariado para as Migrações, I.P. (5893)</t>
  </si>
  <si>
    <t>Agência para o Desenvolvimento e Coesão (5875)</t>
  </si>
  <si>
    <t>Agência para a Modernização Administrativa, I.P. (5746)</t>
  </si>
  <si>
    <t>Agência para a Gestão Integrada de Fogos Rurais, I.P (4447)</t>
  </si>
  <si>
    <t>Ação Governativa (4268)</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</si>
  <si>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</si>
  <si>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</si>
  <si>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</si>
  <si>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</si>
  <si>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</si>
  <si>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</si>
  <si>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</si>
  <si>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</si>
  <si>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</si>
  <si>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</si>
  <si>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Gabinete do Representante da República - Região Autónoma dos Açores (2336)</t>
  </si>
  <si>
    <t>Gabinete do Representante da República - Região Autónoma da Madeira (2335)</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</si>
  <si>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</si>
  <si>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</si>
  <si>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</si>
  <si>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</si>
  <si>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</si>
  <si>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</si>
  <si>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</si>
  <si>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</si>
  <si>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</si>
  <si>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</si>
  <si>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</si>
  <si>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</si>
  <si>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</si>
  <si>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</si>
  <si>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</si>
  <si>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</si>
  <si>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</si>
  <si>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</si>
  <si>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abr</t>
  </si>
  <si>
    <t>Banif, S.A.; Fundação para o Desenvolvimento Ciências Económicas Financeiras e Empresariais; TDC- The Discoveries Centre For Regenerative And Precision Medicine - Associação.</t>
  </si>
  <si>
    <r>
      <t xml:space="preserve">Fundo de Capitalização e Resiliência (5036)      </t>
    </r>
    <r>
      <rPr>
        <b/>
        <sz val="8"/>
        <color rgb="FF000000"/>
        <rFont val="Calibri"/>
        <family val="2"/>
        <scheme val="minor"/>
      </rPr>
      <t>f)</t>
    </r>
  </si>
  <si>
    <t>f) Fundo de Capitalização e Resiliência, criado pelo Decreto-Lei n.º 63/2021, de 28 de julho.</t>
  </si>
  <si>
    <t>Por motivos de ordem técnica, a execução orçamental do Exército e da Força Aérea, relativa a maio de 2021, não foi apropriada integralmente pelos sistemas orçamentais centrais, tendo as entidades enviado, posteriormente, a devida informação.</t>
  </si>
  <si>
    <t>Due to technical reasons, the budget implementation data regarding the Army and Air Force for May 2021, was not fully transposed from the local to the central budget information systems. The required information was later sent by the aforementioned entities.</t>
  </si>
  <si>
    <t>mai</t>
  </si>
  <si>
    <t>Apoio extraordinário serviços públicos de transporte de passageiros</t>
  </si>
  <si>
    <t>FORÇA AÉREA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</si>
</sst>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_-* #,##0.000000\ _€_-;\-* #,##0.000000\ _€_-;_-* &quot;-&quot;?\ _€_-;_-@_-"/>
    <numFmt numFmtId="245" formatCode="_-* #,##0.000000\ _€_-;\-* #,##0.000000\ _€_-;_-* &quot;-&quot;??????\ _€_-;_-@_-"/>
  </numFmts>
  <fonts count="239">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b/>
      <sz val="14"/>
      <color rgb="FF44546A"/>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3">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bottom style="medium">
        <color rgb="FF44546A"/>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right style="dashed">
        <color indexed="12"/>
      </right>
      <top style="thin">
        <color indexed="12"/>
      </top>
      <bottom style="thin">
        <color rgb="FF3015D5"/>
      </bottom>
      <diagonal/>
    </border>
    <border>
      <left style="dashed">
        <color rgb="FF3015D5"/>
      </left>
      <right/>
      <top style="thin">
        <color indexed="12"/>
      </top>
      <bottom style="thin">
        <color indexed="12"/>
      </bottom>
      <diagonal/>
    </border>
    <border>
      <left/>
      <right/>
      <top/>
      <bottom style="medium">
        <color rgb="FF365F91"/>
      </bottom>
      <diagonal/>
    </border>
  </borders>
  <cellStyleXfs count="2718">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9" fillId="0" borderId="0"/>
    <xf numFmtId="0" fontId="219"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80">
    <xf numFmtId="0" fontId="0" fillId="0" borderId="0" xfId="0"/>
    <xf numFmtId="0" fontId="5" fillId="0" borderId="0" xfId="3"/>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8" applyNumberFormat="1" applyFont="1" applyFill="1" applyAlignment="1">
      <alignment vertical="center"/>
    </xf>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85" fontId="192" fillId="0" borderId="0" xfId="16" applyNumberFormat="1" applyFont="1" applyFill="1"/>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65" fontId="51" fillId="3" borderId="0" xfId="12" applyNumberFormat="1" applyFont="1" applyFill="1" applyAlignment="1">
      <alignment vertical="center"/>
    </xf>
    <xf numFmtId="0" fontId="51" fillId="3" borderId="0" xfId="19" applyFont="1" applyFill="1"/>
    <xf numFmtId="172" fontId="51" fillId="3" borderId="0" xfId="12" applyNumberFormat="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165" fontId="21" fillId="3" borderId="0" xfId="10" applyNumberFormat="1" applyFont="1" applyFill="1" applyBorder="1" applyAlignment="1">
      <alignment vertical="center"/>
    </xf>
    <xf numFmtId="0" fontId="164" fillId="3" borderId="0" xfId="18" applyFont="1" applyFill="1" applyBorder="1"/>
    <xf numFmtId="0" fontId="194" fillId="0"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170" fontId="21" fillId="0" borderId="0" xfId="16" applyNumberFormat="1" applyFont="1" applyFill="1"/>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168"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6" fillId="0" borderId="0" xfId="7" applyFont="1" applyFill="1" applyAlignment="1">
      <alignment vertical="center"/>
    </xf>
    <xf numFmtId="0" fontId="217"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9" fillId="0" borderId="0" xfId="2320"/>
    <xf numFmtId="0" fontId="219"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9" fillId="0" borderId="0" xfId="2320" applyNumberFormat="1" applyFill="1"/>
    <xf numFmtId="243" fontId="0" fillId="0" borderId="0" xfId="0" applyNumberFormat="1"/>
    <xf numFmtId="165" fontId="219"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71" fontId="10" fillId="0" borderId="0" xfId="5" applyNumberFormat="1" applyFont="1" applyFill="1" applyAlignment="1">
      <alignment vertical="center"/>
    </xf>
    <xf numFmtId="171" fontId="73" fillId="0" borderId="0" xfId="32" applyNumberFormat="1" applyFont="1" applyFill="1" applyAlignment="1">
      <alignment vertical="center"/>
    </xf>
    <xf numFmtId="171" fontId="21" fillId="0" borderId="0" xfId="32" applyNumberFormat="1" applyFont="1" applyFill="1" applyAlignment="1">
      <alignment vertical="center"/>
    </xf>
    <xf numFmtId="171" fontId="0" fillId="0" borderId="0" xfId="0" applyNumberFormat="1" applyFill="1"/>
    <xf numFmtId="171" fontId="0" fillId="0" borderId="0" xfId="0" applyNumberFormat="1"/>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9" fillId="0" borderId="0" xfId="2320" applyNumberFormat="1"/>
    <xf numFmtId="170" fontId="219"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9" fillId="0" borderId="0" xfId="2320" applyFill="1" applyAlignment="1">
      <alignment vertical="center" wrapText="1"/>
    </xf>
    <xf numFmtId="170" fontId="219" fillId="0" borderId="0" xfId="2320" applyNumberFormat="1" applyFill="1" applyAlignment="1">
      <alignment vertical="center" wrapText="1"/>
    </xf>
    <xf numFmtId="43" fontId="21" fillId="3" borderId="0" xfId="11" applyFont="1" applyFill="1"/>
    <xf numFmtId="0" fontId="219"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244" fontId="50" fillId="0" borderId="0" xfId="0" applyNumberFormat="1" applyFont="1"/>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2" fillId="3" borderId="0" xfId="8" applyFont="1" applyFill="1"/>
    <xf numFmtId="0" fontId="222" fillId="3" borderId="0" xfId="8" applyFont="1" applyFill="1" applyBorder="1"/>
    <xf numFmtId="10" fontId="222" fillId="3" borderId="0" xfId="13" applyNumberFormat="1" applyFont="1" applyFill="1"/>
    <xf numFmtId="0" fontId="5" fillId="3" borderId="0" xfId="8" applyFont="1" applyFill="1"/>
    <xf numFmtId="0" fontId="225" fillId="3" borderId="0" xfId="8" applyFont="1" applyFill="1"/>
    <xf numFmtId="0" fontId="225" fillId="3" borderId="0" xfId="8" applyFont="1" applyFill="1" applyBorder="1"/>
    <xf numFmtId="0" fontId="17" fillId="3" borderId="0" xfId="7" applyFont="1" applyFill="1"/>
    <xf numFmtId="0" fontId="228" fillId="3" borderId="0" xfId="8" applyFont="1" applyFill="1" applyBorder="1"/>
    <xf numFmtId="0" fontId="228" fillId="3" borderId="2" xfId="8" applyFont="1" applyFill="1" applyBorder="1"/>
    <xf numFmtId="165" fontId="229" fillId="3" borderId="2" xfId="1" applyNumberFormat="1" applyFont="1" applyFill="1" applyBorder="1" applyAlignment="1">
      <alignment vertical="center"/>
    </xf>
    <xf numFmtId="165" fontId="230" fillId="3" borderId="2" xfId="1" applyNumberFormat="1" applyFont="1" applyFill="1" applyBorder="1" applyAlignment="1">
      <alignment vertical="center"/>
    </xf>
    <xf numFmtId="0" fontId="0" fillId="0" borderId="0" xfId="0" quotePrefix="1"/>
    <xf numFmtId="43" fontId="0" fillId="0" borderId="0" xfId="42" applyFont="1"/>
    <xf numFmtId="183" fontId="40" fillId="0" borderId="0" xfId="19" applyNumberFormat="1" applyFont="1" applyFill="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5" fillId="3" borderId="0" xfId="8" applyNumberFormat="1" applyFont="1" applyFill="1" applyBorder="1"/>
    <xf numFmtId="165" fontId="223" fillId="3" borderId="0" xfId="5" quotePrefix="1" applyNumberFormat="1" applyFont="1" applyFill="1" applyBorder="1" applyAlignment="1">
      <alignment horizontal="center" vertical="center"/>
    </xf>
    <xf numFmtId="4" fontId="225" fillId="3" borderId="0" xfId="8" applyNumberFormat="1" applyFont="1" applyFill="1"/>
    <xf numFmtId="165" fontId="223" fillId="3" borderId="0" xfId="5" quotePrefix="1" applyNumberFormat="1" applyFont="1" applyFill="1" applyBorder="1" applyAlignment="1">
      <alignment horizontal="right" vertical="center"/>
    </xf>
    <xf numFmtId="165" fontId="225" fillId="3" borderId="0" xfId="8" applyNumberFormat="1" applyFont="1" applyFill="1"/>
    <xf numFmtId="165" fontId="223" fillId="3" borderId="0" xfId="5" applyNumberFormat="1" applyFont="1" applyFill="1" applyBorder="1" applyAlignment="1">
      <alignment horizontal="right" vertical="center"/>
    </xf>
    <xf numFmtId="165" fontId="226"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3"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243" fontId="0" fillId="0" borderId="0" xfId="0" applyNumberFormat="1" applyFill="1"/>
    <xf numFmtId="244" fontId="50" fillId="0" borderId="0" xfId="0" applyNumberFormat="1" applyFont="1" applyFill="1"/>
    <xf numFmtId="0" fontId="231" fillId="0" borderId="0" xfId="2320" applyFont="1"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165" fontId="27" fillId="0" borderId="0" xfId="7" applyNumberFormat="1" applyFont="1" applyFill="1" applyBorder="1"/>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221" fillId="0" borderId="0" xfId="2320" applyFont="1" applyFill="1"/>
    <xf numFmtId="0" fontId="11" fillId="0" borderId="0" xfId="18" applyFill="1" applyAlignment="1">
      <alignment wrapText="1"/>
    </xf>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2" fillId="0" borderId="0" xfId="42" applyFont="1" applyFill="1"/>
    <xf numFmtId="43" fontId="95" fillId="0" borderId="0" xfId="42" applyFont="1" applyFill="1"/>
    <xf numFmtId="0" fontId="232"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3"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4"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9"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6" fillId="0" borderId="0" xfId="15" applyNumberFormat="1" applyFont="1" applyFill="1" applyAlignment="1">
      <alignment vertical="center"/>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2" applyNumberFormat="1" applyFont="1" applyFill="1" applyAlignment="1">
      <alignment horizontal="left" vertical="center" wrapText="1"/>
    </xf>
    <xf numFmtId="43" fontId="0" fillId="0" borderId="0" xfId="0" applyNumberFormat="1"/>
    <xf numFmtId="0" fontId="48" fillId="0" borderId="0" xfId="0" quotePrefix="1" applyFont="1" applyFill="1" applyAlignment="1">
      <alignment horizontal="left" wrapText="1"/>
    </xf>
    <xf numFmtId="165" fontId="73" fillId="0" borderId="0" xfId="32" quotePrefix="1" applyNumberFormat="1" applyFont="1" applyFill="1" applyAlignment="1">
      <alignment vertical="center"/>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0" fontId="237" fillId="0" borderId="0" xfId="0" applyFont="1" applyAlignment="1">
      <alignment vertical="center" wrapText="1"/>
    </xf>
    <xf numFmtId="0" fontId="238" fillId="0" borderId="102" xfId="0" applyFont="1" applyBorder="1" applyAlignment="1">
      <alignment vertical="center" wrapText="1"/>
    </xf>
    <xf numFmtId="0" fontId="237" fillId="0" borderId="0" xfId="0" applyFont="1" applyFill="1" applyAlignment="1">
      <alignment vertical="center" wrapText="1"/>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5" fillId="0" borderId="0" xfId="42" applyFont="1" applyFill="1" applyAlignment="1">
      <alignment vertical="center"/>
    </xf>
    <xf numFmtId="43" fontId="235" fillId="0" borderId="0" xfId="42" applyFont="1" applyFill="1" applyAlignment="1">
      <alignment horizontal="left" vertical="center"/>
    </xf>
    <xf numFmtId="43" fontId="44" fillId="0" borderId="0" xfId="42" applyFont="1" applyFill="1" applyBorder="1" applyAlignment="1">
      <alignment vertical="center"/>
    </xf>
    <xf numFmtId="165" fontId="50" fillId="3" borderId="0" xfId="2320" applyNumberFormat="1" applyFont="1" applyFill="1" applyAlignment="1">
      <alignment horizontal="left" wrapText="1"/>
    </xf>
    <xf numFmtId="0" fontId="219" fillId="3" borderId="0" xfId="2320" applyFill="1"/>
    <xf numFmtId="165" fontId="219" fillId="3" borderId="0" xfId="2320" applyNumberFormat="1" applyFill="1"/>
    <xf numFmtId="165" fontId="24" fillId="3" borderId="0" xfId="2320" applyNumberFormat="1" applyFont="1" applyFill="1" applyBorder="1"/>
    <xf numFmtId="165" fontId="24" fillId="3" borderId="0" xfId="2320" applyNumberFormat="1" applyFont="1" applyFill="1"/>
    <xf numFmtId="0" fontId="219"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245" fontId="0" fillId="0" borderId="0" xfId="0" applyNumberFormat="1"/>
    <xf numFmtId="165" fontId="21" fillId="3" borderId="0" xfId="18" applyNumberFormat="1" applyFont="1" applyFill="1" applyBorder="1" applyAlignment="1"/>
    <xf numFmtId="0" fontId="21" fillId="3" borderId="0" xfId="18" applyFont="1" applyFill="1"/>
    <xf numFmtId="165" fontId="21" fillId="3" borderId="0" xfId="12" applyNumberFormat="1" applyFont="1" applyFill="1" applyAlignment="1">
      <alignment vertical="center"/>
    </xf>
    <xf numFmtId="171" fontId="5" fillId="3" borderId="0" xfId="24" applyNumberFormat="1" applyFill="1"/>
    <xf numFmtId="175" fontId="29" fillId="3" borderId="0" xfId="21" applyNumberFormat="1" applyFont="1" applyFill="1" applyAlignment="1">
      <alignment vertical="center"/>
    </xf>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40" fillId="0" borderId="0" xfId="0" quotePrefix="1" applyFont="1" applyFill="1" applyAlignment="1">
      <alignment horizontal="justify" vertical="center" wrapText="1"/>
    </xf>
    <xf numFmtId="165" fontId="46" fillId="0" borderId="0" xfId="14" applyNumberFormat="1" applyFont="1" applyFill="1"/>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left" vertical="center" indent="2"/>
    </xf>
    <xf numFmtId="165" fontId="21" fillId="0" borderId="0" xfId="16" applyNumberFormat="1" applyFont="1" applyFill="1" applyBorder="1" applyAlignment="1">
      <alignment vertical="center"/>
    </xf>
    <xf numFmtId="165" fontId="29" fillId="0" borderId="0" xfId="12" applyNumberFormat="1" applyFont="1" applyFill="1" applyAlignment="1">
      <alignment vertical="center"/>
    </xf>
    <xf numFmtId="165" fontId="29" fillId="0" borderId="0" xfId="12" applyNumberFormat="1" applyFont="1" applyFill="1" applyBorder="1" applyAlignment="1">
      <alignment vertical="center"/>
    </xf>
    <xf numFmtId="165" fontId="29" fillId="0" borderId="0" xfId="12" applyNumberFormat="1" applyFont="1" applyFill="1" applyBorder="1" applyAlignment="1">
      <alignment horizontal="right" vertical="center"/>
    </xf>
    <xf numFmtId="165" fontId="21" fillId="0" borderId="0" xfId="15" applyNumberFormat="1" applyFont="1" applyFill="1" applyBorder="1" applyAlignment="1">
      <alignment horizontal="left" vertical="center" indent="1"/>
    </xf>
    <xf numFmtId="4" fontId="11" fillId="0" borderId="0" xfId="11" applyNumberFormat="1" applyFill="1" applyBorder="1"/>
    <xf numFmtId="4" fontId="22" fillId="0" borderId="0" xfId="11" applyNumberFormat="1" applyFont="1" applyFill="1" applyAlignment="1">
      <alignment horizontal="right"/>
    </xf>
    <xf numFmtId="181" fontId="219" fillId="0" borderId="0" xfId="2320" applyNumberFormat="1"/>
    <xf numFmtId="181" fontId="88" fillId="0" borderId="0" xfId="10" applyNumberFormat="1" applyFont="1" applyFill="1" applyAlignment="1">
      <alignment vertical="center"/>
    </xf>
    <xf numFmtId="181" fontId="219" fillId="0" borderId="0" xfId="2320" applyNumberFormat="1" applyFill="1"/>
    <xf numFmtId="181" fontId="219" fillId="0" borderId="0" xfId="2320" applyNumberFormat="1" applyFill="1" applyAlignment="1">
      <alignment vertical="center" wrapText="1"/>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0" fontId="40" fillId="0" borderId="0" xfId="0" quotePrefix="1" applyFont="1" applyFill="1" applyAlignment="1">
      <alignment horizontal="left" vertical="center" wrapText="1"/>
    </xf>
    <xf numFmtId="4" fontId="46" fillId="0" borderId="0" xfId="11" applyNumberFormat="1" applyFont="1" applyFill="1" applyAlignment="1">
      <alignment horizontal="right"/>
    </xf>
    <xf numFmtId="0" fontId="50" fillId="0" borderId="0" xfId="2320" applyFont="1" applyFill="1" applyAlignment="1">
      <alignment horizontal="left"/>
    </xf>
    <xf numFmtId="185" fontId="219" fillId="3" borderId="0" xfId="2320" applyNumberFormat="1" applyFill="1"/>
    <xf numFmtId="184" fontId="219" fillId="0" borderId="0" xfId="2320" applyNumberFormat="1" applyFill="1"/>
    <xf numFmtId="165" fontId="29" fillId="0" borderId="0" xfId="9" applyNumberFormat="1" applyFont="1" applyFill="1" applyAlignment="1" applyProtection="1">
      <alignment vertical="center" wrapText="1"/>
      <protection locked="0"/>
    </xf>
    <xf numFmtId="0" fontId="11" fillId="0" borderId="0" xfId="18" applyFill="1" applyAlignment="1">
      <alignment wrapText="1"/>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72" fontId="24" fillId="3" borderId="0" xfId="2320" applyNumberFormat="1" applyFont="1" applyFill="1" applyBorder="1"/>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3" xfId="0" applyFont="1" applyFill="1" applyBorder="1" applyAlignment="1">
      <alignment horizontal="left" indent="2"/>
    </xf>
    <xf numFmtId="243" fontId="40" fillId="0" borderId="83" xfId="0" quotePrefix="1" applyNumberFormat="1" applyFont="1" applyFill="1" applyBorder="1" applyAlignment="1">
      <alignment horizontal="center"/>
    </xf>
    <xf numFmtId="243" fontId="40" fillId="0" borderId="82" xfId="0" quotePrefix="1" applyNumberFormat="1" applyFont="1" applyFill="1" applyBorder="1" applyAlignment="1">
      <alignment horizontal="center"/>
    </xf>
    <xf numFmtId="0" fontId="213" fillId="0" borderId="0" xfId="0" applyFont="1" applyFill="1" applyBorder="1"/>
    <xf numFmtId="0" fontId="50" fillId="0" borderId="83" xfId="0" applyFont="1" applyFill="1" applyBorder="1"/>
    <xf numFmtId="0" fontId="213" fillId="0" borderId="83" xfId="0" applyFont="1" applyFill="1" applyBorder="1" applyAlignment="1">
      <alignment horizontal="left"/>
    </xf>
    <xf numFmtId="243" fontId="48" fillId="0" borderId="83" xfId="0" quotePrefix="1" applyNumberFormat="1" applyFont="1" applyFill="1" applyBorder="1" applyAlignment="1">
      <alignment horizontal="center"/>
    </xf>
    <xf numFmtId="0" fontId="213" fillId="0" borderId="83" xfId="0" applyFont="1" applyFill="1" applyBorder="1" applyAlignment="1">
      <alignment horizontal="left" indent="1"/>
    </xf>
    <xf numFmtId="0" fontId="50" fillId="0" borderId="82" xfId="0" applyFont="1" applyFill="1" applyBorder="1" applyAlignment="1">
      <alignment horizontal="left" indent="2"/>
    </xf>
    <xf numFmtId="0" fontId="50" fillId="0" borderId="0" xfId="0" applyFont="1" applyFill="1" applyBorder="1"/>
    <xf numFmtId="0" fontId="213" fillId="0" borderId="83" xfId="0" applyFont="1" applyFill="1" applyBorder="1"/>
    <xf numFmtId="0" fontId="213" fillId="0" borderId="82" xfId="0" applyFont="1" applyFill="1" applyBorder="1"/>
    <xf numFmtId="0" fontId="50" fillId="0" borderId="82" xfId="0" applyFont="1" applyFill="1" applyBorder="1"/>
    <xf numFmtId="243" fontId="48" fillId="0" borderId="82" xfId="0" quotePrefix="1" applyNumberFormat="1" applyFont="1" applyFill="1" applyBorder="1" applyAlignment="1">
      <alignment horizontal="center"/>
    </xf>
    <xf numFmtId="0" fontId="29" fillId="0" borderId="82" xfId="0" applyFont="1" applyFill="1" applyBorder="1" applyAlignment="1">
      <alignment horizontal="left" indent="2"/>
    </xf>
    <xf numFmtId="243" fontId="21" fillId="0" borderId="82" xfId="0" quotePrefix="1" applyNumberFormat="1" applyFont="1" applyFill="1" applyBorder="1" applyAlignment="1">
      <alignment horizontal="center"/>
    </xf>
    <xf numFmtId="0" fontId="50" fillId="0" borderId="82" xfId="0" applyFont="1" applyFill="1" applyBorder="1" applyAlignment="1">
      <alignment horizontal="left" vertical="center" indent="2"/>
    </xf>
    <xf numFmtId="0" fontId="50" fillId="0" borderId="82" xfId="0" applyFont="1" applyFill="1" applyBorder="1" applyAlignment="1">
      <alignment horizontal="left" vertical="center" wrapText="1" indent="2"/>
    </xf>
    <xf numFmtId="0" fontId="50" fillId="0" borderId="82" xfId="0" applyFont="1" applyFill="1" applyBorder="1" applyAlignment="1">
      <alignment horizontal="left" vertical="top" wrapText="1" indent="2"/>
    </xf>
    <xf numFmtId="0" fontId="50" fillId="0" borderId="0" xfId="0" applyFont="1" applyFill="1"/>
    <xf numFmtId="243" fontId="48" fillId="0" borderId="0" xfId="0" quotePrefix="1" applyNumberFormat="1" applyFont="1" applyFill="1" applyBorder="1" applyAlignment="1">
      <alignment horizontal="center"/>
    </xf>
    <xf numFmtId="0" fontId="213" fillId="0" borderId="84" xfId="0" applyFont="1" applyFill="1" applyBorder="1" applyAlignment="1">
      <alignment vertical="top" wrapText="1"/>
    </xf>
    <xf numFmtId="0" fontId="213" fillId="0" borderId="0" xfId="0" applyFont="1" applyFill="1" applyAlignment="1">
      <alignment vertical="top" wrapText="1"/>
    </xf>
    <xf numFmtId="243" fontId="48" fillId="0" borderId="84"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21" fillId="0" borderId="0" xfId="12" applyNumberFormat="1" applyFont="1" applyFill="1" applyAlignment="1">
      <alignment horizontal="left" vertical="center" indent="2"/>
    </xf>
    <xf numFmtId="165" fontId="29" fillId="0" borderId="0" xfId="12" applyNumberFormat="1" applyFont="1" applyFill="1" applyAlignment="1">
      <alignment horizontal="right" vertical="center"/>
    </xf>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applyBorder="1" applyAlignment="1">
      <alignment horizontal="left" vertical="center" indent="1"/>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43" fillId="0" borderId="0" xfId="12" applyNumberFormat="1" applyFont="1" applyFill="1" applyAlignment="1">
      <alignment vertical="center"/>
    </xf>
    <xf numFmtId="165" fontId="21" fillId="0" borderId="0" xfId="12" applyNumberFormat="1" applyFont="1" applyFill="1" applyAlignment="1">
      <alignment horizontal="left" vertical="center"/>
    </xf>
    <xf numFmtId="180" fontId="192" fillId="0" borderId="0" xfId="11" applyNumberFormat="1" applyFont="1" applyFill="1"/>
    <xf numFmtId="165" fontId="18" fillId="0" borderId="0" xfId="9" applyNumberFormat="1" applyFont="1" applyFill="1" applyAlignment="1" applyProtection="1">
      <alignment horizontal="right"/>
      <protection locked="0"/>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applyAlignment="1">
      <alignment vertical="center"/>
    </xf>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192" fillId="0" borderId="0" xfId="16" applyNumberFormat="1" applyFont="1" applyFill="1" applyBorder="1" applyAlignment="1">
      <alignment vertical="center"/>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165" fontId="29" fillId="0" borderId="12" xfId="12" applyNumberFormat="1" applyFont="1" applyFill="1" applyBorder="1" applyAlignment="1" applyProtection="1">
      <alignment vertical="center"/>
      <protection locked="0"/>
    </xf>
    <xf numFmtId="0" fontId="43" fillId="0" borderId="0" xfId="16" applyFont="1" applyFill="1" applyBorder="1" applyAlignment="1">
      <alignment horizontal="left" vertical="top" wrapText="1"/>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1" fillId="0" borderId="0" xfId="18" applyNumberFormat="1" applyFill="1"/>
    <xf numFmtId="165" fontId="35" fillId="0" borderId="0" xfId="9" applyNumberFormat="1" applyFont="1" applyFill="1" applyAlignment="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76" fontId="29" fillId="0" borderId="0" xfId="11" applyNumberFormat="1" applyFont="1" applyFill="1" applyProtection="1">
      <protection locked="0"/>
    </xf>
    <xf numFmtId="0" fontId="29" fillId="0" borderId="0" xfId="9" applyFont="1" applyFill="1" applyProtection="1">
      <protection locked="0"/>
    </xf>
    <xf numFmtId="165" fontId="35" fillId="0" borderId="0" xfId="14" applyNumberFormat="1" applyFont="1" applyFill="1"/>
    <xf numFmtId="165" fontId="29" fillId="0" borderId="0" xfId="18" applyNumberFormat="1" applyFont="1" applyFill="1"/>
    <xf numFmtId="165" fontId="21" fillId="0" borderId="0" xfId="0" applyNumberFormat="1" applyFont="1" applyFill="1" applyBorder="1" applyAlignment="1">
      <alignment vertical="center"/>
    </xf>
    <xf numFmtId="0" fontId="29" fillId="0" borderId="0" xfId="16" applyFont="1" applyFill="1" applyBorder="1"/>
    <xf numFmtId="165" fontId="29" fillId="0" borderId="0" xfId="16" applyNumberFormat="1" applyFont="1" applyFill="1" applyBorder="1" applyAlignment="1">
      <alignment horizontal="right"/>
    </xf>
    <xf numFmtId="165" fontId="35" fillId="0" borderId="11"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165" fontId="21" fillId="0" borderId="0" xfId="16" applyNumberFormat="1" applyFont="1" applyFill="1" applyBorder="1"/>
    <xf numFmtId="172" fontId="21" fillId="0" borderId="0" xfId="16" applyNumberFormat="1" applyFont="1" applyFill="1" applyBorder="1" applyAlignment="1">
      <alignment horizontal="left" vertical="top" wrapText="1"/>
    </xf>
    <xf numFmtId="165" fontId="46" fillId="0" borderId="0" xfId="9" applyNumberFormat="1" applyFont="1" applyFill="1" applyAlignment="1">
      <alignment horizontal="right"/>
    </xf>
    <xf numFmtId="0" fontId="40" fillId="0" borderId="12" xfId="19"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right"/>
    </xf>
    <xf numFmtId="165" fontId="21" fillId="0" borderId="0" xfId="16" quotePrefix="1" applyNumberFormat="1" applyFont="1" applyFill="1" applyBorder="1" applyAlignment="1">
      <alignment horizontal="right"/>
    </xf>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75" fontId="191" fillId="0" borderId="0" xfId="21" applyNumberFormat="1" applyFont="1" applyFill="1" applyAlignment="1">
      <alignment vertical="center"/>
    </xf>
    <xf numFmtId="175" fontId="190"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1" fillId="0" borderId="12" xfId="18" applyNumberFormat="1" applyFont="1" applyFill="1" applyBorder="1" applyAlignment="1">
      <alignment horizontal="right"/>
    </xf>
    <xf numFmtId="165" fontId="29" fillId="0" borderId="12" xfId="21" applyNumberFormat="1" applyFont="1" applyFill="1" applyBorder="1"/>
    <xf numFmtId="165" fontId="50" fillId="0" borderId="12" xfId="21" applyNumberFormat="1" applyFont="1" applyFill="1" applyBorder="1"/>
    <xf numFmtId="165" fontId="21" fillId="0" borderId="0" xfId="18"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165" fontId="46" fillId="3" borderId="0" xfId="14" applyNumberFormat="1" applyFont="1" applyFill="1"/>
    <xf numFmtId="165" fontId="192" fillId="3" borderId="0" xfId="18" applyNumberFormat="1" applyFont="1" applyFill="1"/>
    <xf numFmtId="0" fontId="192" fillId="3" borderId="0" xfId="18" applyFont="1" applyFill="1"/>
    <xf numFmtId="165" fontId="46" fillId="3" borderId="0" xfId="14" applyNumberFormat="1" applyFont="1" applyFill="1" applyBorder="1" applyAlignment="1">
      <alignment horizontal="right"/>
    </xf>
    <xf numFmtId="0" fontId="25" fillId="3" borderId="8" xfId="18" applyFont="1" applyFill="1" applyBorder="1"/>
    <xf numFmtId="165" fontId="30" fillId="3" borderId="9" xfId="12" quotePrefix="1" applyNumberFormat="1" applyFont="1" applyFill="1" applyBorder="1" applyAlignment="1" applyProtection="1">
      <alignment horizontal="center" vertical="center" wrapText="1"/>
      <protection locked="0"/>
    </xf>
    <xf numFmtId="0" fontId="21" fillId="3" borderId="12" xfId="18" applyFont="1" applyFill="1" applyBorder="1"/>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5" fillId="3" borderId="0" xfId="12" quotePrefix="1" applyNumberFormat="1" applyFont="1" applyFill="1" applyBorder="1" applyAlignment="1">
      <alignment horizontal="center" vertical="center" wrapText="1"/>
    </xf>
    <xf numFmtId="165" fontId="46" fillId="3" borderId="0" xfId="14" applyNumberFormat="1" applyFont="1" applyFill="1" applyBorder="1"/>
    <xf numFmtId="165" fontId="46" fillId="3" borderId="0" xfId="18" applyNumberFormat="1" applyFont="1" applyFill="1" applyBorder="1"/>
    <xf numFmtId="165" fontId="46" fillId="3" borderId="0" xfId="18" applyNumberFormat="1" applyFont="1" applyFill="1" applyBorder="1" applyAlignment="1">
      <alignment horizontal="right"/>
    </xf>
    <xf numFmtId="165" fontId="21" fillId="3" borderId="0" xfId="16" applyNumberFormat="1" applyFont="1" applyFill="1" applyBorder="1" applyAlignment="1">
      <alignment horizontal="left" vertical="center" indent="1"/>
    </xf>
    <xf numFmtId="165" fontId="21" fillId="3" borderId="0" xfId="18" applyNumberFormat="1" applyFont="1" applyFill="1" applyBorder="1"/>
    <xf numFmtId="165" fontId="21" fillId="3" borderId="0" xfId="18" applyNumberFormat="1" applyFont="1" applyFill="1" applyBorder="1" applyAlignment="1">
      <alignment horizontal="right"/>
    </xf>
    <xf numFmtId="165" fontId="21" fillId="3" borderId="0" xfId="18" applyNumberFormat="1" applyFont="1" applyFill="1" applyBorder="1" applyAlignment="1">
      <alignment horizontal="left" indent="1"/>
    </xf>
    <xf numFmtId="165" fontId="42" fillId="3" borderId="0" xfId="18" applyNumberFormat="1" applyFont="1" applyFill="1" applyBorder="1" applyAlignment="1">
      <alignment horizontal="left" indent="2"/>
    </xf>
    <xf numFmtId="165" fontId="21" fillId="3" borderId="0" xfId="18" applyNumberFormat="1" applyFont="1" applyFill="1" applyBorder="1" applyAlignment="1">
      <alignment horizontal="left" indent="3"/>
    </xf>
    <xf numFmtId="165" fontId="21" fillId="3" borderId="0" xfId="18" applyNumberFormat="1" applyFont="1" applyFill="1" applyBorder="1" applyAlignment="1">
      <alignment horizontal="left" indent="4"/>
    </xf>
    <xf numFmtId="165" fontId="21" fillId="3" borderId="0" xfId="2322" applyNumberFormat="1" applyFont="1" applyFill="1" applyBorder="1" applyAlignment="1">
      <alignment horizontal="left" indent="4"/>
    </xf>
    <xf numFmtId="0" fontId="21" fillId="3" borderId="0" xfId="18" applyFont="1" applyFill="1" applyBorder="1" applyAlignment="1">
      <alignment horizontal="left" indent="1"/>
    </xf>
    <xf numFmtId="165" fontId="46" fillId="3" borderId="11" xfId="14" applyNumberFormat="1" applyFont="1" applyFill="1" applyBorder="1"/>
    <xf numFmtId="165" fontId="46" fillId="3" borderId="11" xfId="18" applyNumberFormat="1" applyFont="1" applyFill="1" applyBorder="1"/>
    <xf numFmtId="165" fontId="46" fillId="3" borderId="11" xfId="18" applyNumberFormat="1" applyFont="1" applyFill="1" applyBorder="1" applyAlignment="1">
      <alignment horizontal="right"/>
    </xf>
    <xf numFmtId="165" fontId="21" fillId="3" borderId="0" xfId="18" applyNumberFormat="1" applyFont="1" applyFill="1" applyBorder="1" applyAlignment="1">
      <alignment horizontal="left"/>
    </xf>
    <xf numFmtId="165" fontId="2" fillId="3" borderId="0" xfId="18" applyNumberFormat="1" applyFont="1" applyFill="1" applyBorder="1"/>
    <xf numFmtId="165" fontId="26" fillId="3" borderId="0" xfId="18" applyNumberFormat="1" applyFont="1" applyFill="1" applyBorder="1"/>
    <xf numFmtId="165" fontId="26" fillId="3" borderId="0" xfId="18" applyNumberFormat="1" applyFont="1" applyFill="1" applyBorder="1" applyAlignment="1">
      <alignment horizontal="right"/>
    </xf>
    <xf numFmtId="165" fontId="21" fillId="3" borderId="0" xfId="18" quotePrefix="1" applyNumberFormat="1" applyFont="1" applyFill="1" applyBorder="1" applyAlignment="1">
      <alignment horizontal="right"/>
    </xf>
    <xf numFmtId="0" fontId="21" fillId="3" borderId="0" xfId="18" applyFont="1" applyFill="1" applyBorder="1" applyAlignment="1">
      <alignment horizontal="left"/>
    </xf>
    <xf numFmtId="0" fontId="21" fillId="3" borderId="0" xfId="18" applyFont="1" applyFill="1" applyBorder="1" applyAlignment="1">
      <alignment horizontal="left" indent="2"/>
    </xf>
    <xf numFmtId="165" fontId="22" fillId="3" borderId="0" xfId="14" applyNumberFormat="1" applyFont="1" applyFill="1" applyBorder="1"/>
    <xf numFmtId="165" fontId="46" fillId="3" borderId="11" xfId="14" applyNumberFormat="1" applyFont="1" applyFill="1" applyBorder="1" applyAlignment="1">
      <alignment vertical="center"/>
    </xf>
    <xf numFmtId="165" fontId="46" fillId="3" borderId="11" xfId="18" applyNumberFormat="1" applyFont="1" applyFill="1" applyBorder="1" applyAlignment="1">
      <alignment vertical="center"/>
    </xf>
    <xf numFmtId="165" fontId="42" fillId="3" borderId="0" xfId="18" applyNumberFormat="1" applyFont="1" applyFill="1" applyBorder="1"/>
    <xf numFmtId="165" fontId="21" fillId="3" borderId="0" xfId="18" applyNumberFormat="1" applyFont="1" applyFill="1" applyBorder="1" applyAlignment="1">
      <alignment horizontal="left" indent="2"/>
    </xf>
    <xf numFmtId="165" fontId="21" fillId="3" borderId="12" xfId="18" applyNumberFormat="1" applyFont="1" applyFill="1" applyBorder="1" applyAlignment="1">
      <alignment horizontal="left" indent="1"/>
    </xf>
    <xf numFmtId="165" fontId="21" fillId="3" borderId="12" xfId="18" applyNumberFormat="1" applyFont="1" applyFill="1" applyBorder="1" applyAlignment="1">
      <alignment horizontal="right"/>
    </xf>
    <xf numFmtId="165" fontId="21" fillId="3" borderId="12" xfId="18" applyNumberFormat="1" applyFont="1" applyFill="1" applyBorder="1" applyAlignment="1">
      <alignment horizontal="center"/>
    </xf>
    <xf numFmtId="0" fontId="43" fillId="3" borderId="0" xfId="18" applyFont="1" applyFill="1"/>
    <xf numFmtId="165" fontId="21" fillId="3" borderId="0" xfId="18" applyNumberFormat="1" applyFont="1" applyFill="1"/>
    <xf numFmtId="194" fontId="21" fillId="3" borderId="0" xfId="13" applyNumberFormat="1" applyFont="1" applyFill="1"/>
    <xf numFmtId="0" fontId="21" fillId="0" borderId="0" xfId="16" quotePrefix="1" applyNumberFormat="1" applyFont="1" applyFill="1" applyBorder="1" applyAlignment="1">
      <alignment horizontal="center" vertical="center"/>
    </xf>
    <xf numFmtId="165" fontId="29" fillId="0" borderId="0" xfId="18" applyNumberFormat="1" applyFont="1" applyFill="1" applyAlignment="1">
      <alignment horizontal="right"/>
    </xf>
    <xf numFmtId="171" fontId="29" fillId="0" borderId="0" xfId="12" applyNumberFormat="1" applyFont="1" applyFill="1" applyAlignment="1">
      <alignment horizontal="left" vertical="center" indent="2"/>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9" fillId="0" borderId="12" xfId="7" applyNumberFormat="1" applyFont="1" applyFill="1" applyBorder="1" applyAlignment="1" applyProtection="1">
      <alignment vertical="center"/>
      <protection locked="0"/>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vertical="center"/>
      <protection locked="0"/>
    </xf>
    <xf numFmtId="165" fontId="35" fillId="0" borderId="7" xfId="7" applyNumberFormat="1" applyFont="1" applyFill="1" applyBorder="1" applyAlignment="1" applyProtection="1">
      <alignment horizontal="right" vertical="center"/>
    </xf>
    <xf numFmtId="165" fontId="35" fillId="0" borderId="7" xfId="7" applyNumberFormat="1" applyFont="1" applyFill="1" applyBorder="1" applyAlignment="1" applyProtection="1">
      <alignment vertical="center"/>
    </xf>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horizontal="right" vertical="center"/>
      <protection locked="0"/>
    </xf>
    <xf numFmtId="165" fontId="35" fillId="0" borderId="11" xfId="7" applyNumberFormat="1" applyFont="1" applyFill="1" applyBorder="1" applyAlignment="1" applyProtection="1">
      <alignment vertical="center"/>
    </xf>
    <xf numFmtId="0" fontId="32" fillId="0" borderId="0" xfId="7" applyFont="1" applyFill="1" applyProtection="1"/>
    <xf numFmtId="0" fontId="32" fillId="0" borderId="0" xfId="7" applyFont="1" applyFill="1" applyBorder="1" applyProtection="1"/>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165" fontId="1" fillId="3" borderId="0" xfId="2320" applyNumberFormat="1" applyFont="1" applyFill="1"/>
    <xf numFmtId="165" fontId="21" fillId="3" borderId="0" xfId="2320" applyNumberFormat="1" applyFont="1" applyFill="1"/>
    <xf numFmtId="165" fontId="3" fillId="3" borderId="0" xfId="2320" applyNumberFormat="1" applyFont="1" applyFill="1"/>
    <xf numFmtId="165" fontId="24" fillId="3" borderId="11" xfId="2320" applyNumberFormat="1" applyFont="1" applyFill="1" applyBorder="1"/>
    <xf numFmtId="0" fontId="24" fillId="3" borderId="11" xfId="2320" applyFont="1" applyFill="1" applyBorder="1"/>
    <xf numFmtId="0" fontId="1" fillId="3" borderId="0" xfId="2320" applyFont="1" applyFill="1"/>
    <xf numFmtId="0" fontId="1" fillId="3" borderId="0" xfId="2320" applyFont="1" applyFill="1" applyAlignment="1">
      <alignment wrapText="1"/>
    </xf>
    <xf numFmtId="0" fontId="1" fillId="3" borderId="0" xfId="2320" applyFont="1" applyFill="1" applyAlignment="1">
      <alignment vertical="center"/>
    </xf>
    <xf numFmtId="0" fontId="3" fillId="3" borderId="0" xfId="2320" applyFont="1" applyFill="1"/>
    <xf numFmtId="0" fontId="24" fillId="3" borderId="0" xfId="2320" applyFont="1" applyFill="1" applyBorder="1"/>
    <xf numFmtId="0" fontId="34" fillId="3" borderId="11" xfId="2320" applyFont="1" applyFill="1" applyBorder="1"/>
    <xf numFmtId="0" fontId="1" fillId="3" borderId="0" xfId="2320" applyFont="1" applyFill="1" applyAlignment="1">
      <alignment horizontal="left" indent="3"/>
    </xf>
    <xf numFmtId="165" fontId="1" fillId="0" borderId="0" xfId="2320" applyNumberFormat="1" applyFont="1" applyFill="1"/>
    <xf numFmtId="165" fontId="3" fillId="0" borderId="0" xfId="2320" applyNumberFormat="1" applyFont="1" applyFill="1"/>
    <xf numFmtId="165" fontId="3" fillId="0" borderId="0" xfId="2320" applyNumberFormat="1" applyFont="1" applyFill="1" applyAlignment="1">
      <alignment horizontal="right"/>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5" fillId="3" borderId="18" xfId="12" applyNumberFormat="1" applyFont="1" applyFill="1" applyBorder="1" applyAlignment="1">
      <alignment horizontal="center" vertical="center" wrapText="1"/>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0" xfId="12"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0" fontId="60" fillId="3" borderId="7" xfId="30"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1" fillId="3" borderId="93" xfId="10" quotePrefix="1" applyNumberFormat="1" applyFont="1" applyFill="1" applyBorder="1" applyAlignment="1">
      <alignment horizontal="center" vertical="center"/>
    </xf>
    <xf numFmtId="165" fontId="21" fillId="3" borderId="94" xfId="10" quotePrefix="1" applyNumberFormat="1" applyFont="1" applyFill="1" applyBorder="1" applyAlignment="1">
      <alignment horizontal="center" vertical="center"/>
    </xf>
    <xf numFmtId="165" fontId="29" fillId="3" borderId="25" xfId="10" quotePrefix="1" applyNumberFormat="1" applyFont="1" applyFill="1" applyBorder="1" applyAlignment="1">
      <alignment horizontal="center" vertical="center"/>
    </xf>
    <xf numFmtId="165" fontId="29" fillId="3" borderId="23" xfId="10" quotePrefix="1" applyNumberFormat="1" applyFont="1" applyFill="1" applyBorder="1" applyAlignment="1">
      <alignment horizontal="center" vertical="center"/>
    </xf>
    <xf numFmtId="165" fontId="29" fillId="3" borderId="9" xfId="10" quotePrefix="1" applyNumberFormat="1" applyFont="1" applyFill="1" applyBorder="1" applyAlignment="1">
      <alignment horizontal="center" vertical="center"/>
    </xf>
    <xf numFmtId="165" fontId="29" fillId="3" borderId="100"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6"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8" xfId="0" applyNumberFormat="1" applyFont="1" applyFill="1" applyBorder="1" applyAlignment="1">
      <alignment horizontal="right" vertical="center"/>
    </xf>
    <xf numFmtId="165" fontId="21" fillId="3" borderId="97"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3"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8" xfId="1438" applyNumberFormat="1" applyFont="1" applyFill="1" applyBorder="1" applyAlignment="1">
      <alignment horizontal="right" vertical="center"/>
    </xf>
    <xf numFmtId="165" fontId="21" fillId="3" borderId="97"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22" fillId="3" borderId="18" xfId="0" applyNumberFormat="1" applyFont="1" applyFill="1" applyBorder="1" applyAlignment="1">
      <alignment horizontal="right" vertical="center"/>
    </xf>
    <xf numFmtId="165" fontId="22" fillId="3" borderId="96" xfId="0" applyNumberFormat="1" applyFont="1" applyFill="1" applyBorder="1" applyAlignment="1">
      <alignment horizontal="righ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1" fillId="3" borderId="0" xfId="1006" applyNumberFormat="1" applyFont="1" applyFill="1" applyBorder="1" applyAlignment="1">
      <alignment horizontal="right" vertical="center"/>
    </xf>
    <xf numFmtId="165" fontId="21" fillId="3" borderId="98" xfId="1006"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22" fillId="3" borderId="0" xfId="0" applyNumberFormat="1" applyFont="1" applyFill="1" applyBorder="1" applyAlignment="1">
      <alignment horizontal="right" vertical="center"/>
    </xf>
    <xf numFmtId="165" fontId="22" fillId="3" borderId="98" xfId="0" applyNumberFormat="1" applyFont="1" applyFill="1" applyBorder="1" applyAlignment="1">
      <alignment horizontal="right" vertical="center"/>
    </xf>
    <xf numFmtId="165" fontId="22" fillId="3" borderId="98" xfId="16" applyNumberFormat="1" applyFont="1" applyFill="1" applyBorder="1" applyAlignment="1">
      <alignment horizontal="right" vertical="center"/>
    </xf>
    <xf numFmtId="165" fontId="35" fillId="3" borderId="0" xfId="0" applyNumberFormat="1" applyFont="1" applyFill="1" applyBorder="1" applyAlignment="1">
      <alignment horizontal="right" vertical="center"/>
    </xf>
    <xf numFmtId="165" fontId="21" fillId="3" borderId="20" xfId="16" applyNumberFormat="1" applyFont="1" applyFill="1" applyBorder="1" applyAlignment="1">
      <alignment horizontal="right" vertical="center"/>
    </xf>
    <xf numFmtId="165" fontId="21" fillId="3" borderId="0" xfId="16" applyNumberFormat="1" applyFont="1" applyFill="1" applyBorder="1" applyAlignment="1">
      <alignment horizontal="right" vertical="center"/>
    </xf>
    <xf numFmtId="165" fontId="21" fillId="3" borderId="98" xfId="16"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22" fillId="3" borderId="22" xfId="16" applyNumberFormat="1" applyFont="1" applyFill="1" applyBorder="1" applyAlignment="1">
      <alignment horizontal="right" vertical="center"/>
    </xf>
    <xf numFmtId="165" fontId="22" fillId="3" borderId="93" xfId="16" applyNumberFormat="1" applyFont="1" applyFill="1" applyBorder="1" applyAlignment="1">
      <alignment horizontal="righ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1" fillId="0" borderId="0" xfId="7" applyNumberFormat="1" applyFont="1" applyFill="1" applyBorder="1" applyAlignment="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5" fillId="0" borderId="0" xfId="12" applyNumberFormat="1" applyFont="1" applyFill="1" applyBorder="1" applyAlignment="1">
      <alignment horizontal="center" vertical="center"/>
    </xf>
    <xf numFmtId="165" fontId="21" fillId="0" borderId="0" xfId="14" applyNumberFormat="1" applyFont="1" applyFill="1" applyAlignment="1">
      <alignment vertical="center" wrapText="1"/>
    </xf>
    <xf numFmtId="165" fontId="21" fillId="0" borderId="0" xfId="16" applyNumberFormat="1" applyFont="1" applyFill="1" applyBorder="1" applyAlignment="1">
      <alignment horizontal="left" vertical="center" wrapText="1"/>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21" fillId="0" borderId="0" xfId="10" applyNumberFormat="1" applyFont="1" applyFill="1" applyBorder="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46" fillId="0" borderId="0" xfId="15" applyNumberFormat="1" applyFont="1" applyFill="1" applyBorder="1" applyAlignment="1">
      <alignment horizontal="righ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0" fontId="50" fillId="0" borderId="0" xfId="2320" applyFont="1" applyFill="1" applyAlignment="1">
      <alignment horizontal="left" vertical="center" wrapText="1"/>
    </xf>
    <xf numFmtId="165" fontId="24" fillId="0" borderId="11" xfId="2320" applyNumberFormat="1" applyFont="1" applyFill="1" applyBorder="1"/>
    <xf numFmtId="0" fontId="218" fillId="0" borderId="87" xfId="2320" applyFont="1" applyFill="1" applyBorder="1" applyAlignment="1">
      <alignment horizontal="center" vertical="center"/>
    </xf>
    <xf numFmtId="0" fontId="218" fillId="0" borderId="86" xfId="2320" applyFont="1" applyFill="1" applyBorder="1" applyAlignment="1">
      <alignment horizontal="center" vertical="center" wrapText="1"/>
    </xf>
    <xf numFmtId="165" fontId="218" fillId="0" borderId="85" xfId="2320" applyNumberFormat="1" applyFont="1" applyFill="1" applyBorder="1" applyAlignment="1">
      <alignment horizontal="center" vertical="center" wrapText="1"/>
    </xf>
    <xf numFmtId="0" fontId="3" fillId="0" borderId="0" xfId="2320" applyFont="1" applyFill="1"/>
    <xf numFmtId="0" fontId="24" fillId="0" borderId="11" xfId="2320" applyFont="1" applyFill="1" applyBorder="1"/>
    <xf numFmtId="0" fontId="213" fillId="0" borderId="0" xfId="2320" applyFont="1" applyFill="1" applyAlignment="1">
      <alignment horizontal="left" vertical="center" wrapText="1"/>
    </xf>
    <xf numFmtId="0" fontId="50" fillId="0" borderId="0" xfId="2320" applyFont="1" applyFill="1" applyAlignment="1">
      <alignment horizontal="left" wrapText="1"/>
    </xf>
    <xf numFmtId="192"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0" fontId="50" fillId="0" borderId="0" xfId="2320" applyFont="1" applyFill="1" applyAlignment="1">
      <alignment horizontal="justify"/>
    </xf>
    <xf numFmtId="0" fontId="219" fillId="0" borderId="0" xfId="2320" applyFill="1" applyAlignment="1">
      <alignment horizontal="justify"/>
    </xf>
    <xf numFmtId="165" fontId="219" fillId="0" borderId="0" xfId="2320" applyNumberFormat="1" applyFill="1" applyAlignment="1">
      <alignment horizontal="justify"/>
    </xf>
    <xf numFmtId="0" fontId="24" fillId="0" borderId="0" xfId="2320" applyFont="1" applyFill="1" applyBorder="1" applyAlignment="1">
      <alignment horizontal="justify"/>
    </xf>
    <xf numFmtId="165" fontId="24" fillId="0" borderId="0" xfId="2320" applyNumberFormat="1" applyFont="1" applyFill="1" applyBorder="1" applyAlignment="1">
      <alignment horizontal="justify"/>
    </xf>
    <xf numFmtId="0" fontId="213" fillId="0" borderId="0" xfId="2320" applyFont="1" applyFill="1" applyAlignment="1">
      <alignment horizontal="justify" vertical="center" wrapText="1"/>
    </xf>
    <xf numFmtId="165" fontId="50" fillId="0" borderId="0" xfId="2320" applyNumberFormat="1" applyFont="1" applyFill="1" applyAlignment="1">
      <alignment horizontal="left" vertical="center" wrapText="1"/>
    </xf>
    <xf numFmtId="165" fontId="218" fillId="3" borderId="85" xfId="2320" applyNumberFormat="1" applyFont="1" applyFill="1" applyBorder="1" applyAlignment="1">
      <alignment horizontal="center" vertical="center" wrapText="1"/>
    </xf>
    <xf numFmtId="165" fontId="218" fillId="3" borderId="85" xfId="2320" applyNumberFormat="1" applyFont="1" applyFill="1" applyBorder="1" applyAlignment="1">
      <alignment horizontal="center" vertical="center"/>
    </xf>
    <xf numFmtId="165" fontId="3" fillId="3" borderId="0" xfId="2320" applyNumberFormat="1" applyFont="1" applyFill="1" applyAlignment="1">
      <alignment horizontal="right"/>
    </xf>
    <xf numFmtId="165" fontId="1" fillId="3" borderId="0" xfId="2321" applyNumberFormat="1" applyFont="1" applyFill="1"/>
    <xf numFmtId="165" fontId="50" fillId="3" borderId="0" xfId="2320" applyNumberFormat="1" applyFont="1" applyFill="1" applyAlignment="1">
      <alignment horizontal="left" vertical="center" wrapText="1"/>
    </xf>
    <xf numFmtId="165" fontId="35" fillId="3" borderId="0" xfId="9" applyNumberFormat="1" applyFont="1" applyFill="1" applyAlignment="1" applyProtection="1">
      <protection locked="0"/>
    </xf>
    <xf numFmtId="0" fontId="218" fillId="3" borderId="11" xfId="2320" applyFont="1" applyFill="1" applyBorder="1" applyAlignment="1">
      <alignment horizontal="left" vertical="center" indent="3"/>
    </xf>
    <xf numFmtId="0" fontId="218" fillId="3" borderId="11" xfId="2320" applyFont="1" applyFill="1" applyBorder="1" applyAlignment="1">
      <alignment horizontal="center" vertical="center"/>
    </xf>
    <xf numFmtId="0" fontId="218" fillId="3" borderId="0" xfId="2320" applyFont="1" applyFill="1" applyAlignment="1">
      <alignment horizontal="left" vertical="center" indent="3"/>
    </xf>
    <xf numFmtId="0" fontId="218" fillId="3" borderId="0" xfId="2320" applyFont="1" applyFill="1" applyAlignment="1">
      <alignment horizontal="center" vertical="center"/>
    </xf>
    <xf numFmtId="0" fontId="1" fillId="3" borderId="0" xfId="2320" applyFont="1" applyFill="1" applyAlignment="1">
      <alignment horizontal="left" vertical="center" wrapText="1" indent="3"/>
    </xf>
    <xf numFmtId="165" fontId="1" fillId="3" borderId="0" xfId="2320" applyNumberFormat="1" applyFont="1" applyFill="1" applyAlignment="1">
      <alignment vertical="center"/>
    </xf>
    <xf numFmtId="0" fontId="24" fillId="3" borderId="0" xfId="2320" applyFont="1" applyFill="1"/>
    <xf numFmtId="0" fontId="218" fillId="3" borderId="0" xfId="2320" applyFont="1" applyFill="1" applyAlignment="1">
      <alignment horizontal="left" indent="1"/>
    </xf>
    <xf numFmtId="165" fontId="218" fillId="3" borderId="0" xfId="2320" applyNumberFormat="1" applyFont="1" applyFill="1"/>
    <xf numFmtId="0" fontId="218" fillId="3" borderId="0" xfId="2320" applyFont="1" applyFill="1" applyAlignment="1">
      <alignment horizontal="left" indent="2"/>
    </xf>
    <xf numFmtId="0" fontId="30" fillId="3" borderId="0" xfId="2320" applyFont="1" applyFill="1" applyAlignment="1">
      <alignment horizontal="left" indent="2"/>
    </xf>
    <xf numFmtId="165" fontId="25" fillId="3" borderId="0" xfId="2320" applyNumberFormat="1" applyFont="1" applyFill="1"/>
    <xf numFmtId="0" fontId="1" fillId="3" borderId="0" xfId="2320" applyFont="1" applyFill="1" applyAlignment="1">
      <alignment horizontal="left" wrapText="1" indent="3"/>
    </xf>
    <xf numFmtId="0" fontId="1" fillId="3" borderId="0" xfId="2320" applyFont="1" applyFill="1" applyAlignment="1">
      <alignment horizontal="left" vertical="top" wrapText="1" indent="3"/>
    </xf>
    <xf numFmtId="0" fontId="60" fillId="3" borderId="0" xfId="2320" applyFont="1" applyFill="1"/>
    <xf numFmtId="0" fontId="1" fillId="3" borderId="0" xfId="2320" applyFont="1" applyFill="1" applyAlignment="1">
      <alignment horizontal="left" indent="1"/>
    </xf>
    <xf numFmtId="0" fontId="34" fillId="3" borderId="0" xfId="2320" applyFont="1" applyFill="1"/>
    <xf numFmtId="0" fontId="213" fillId="3" borderId="0" xfId="2320" applyFont="1" applyFill="1" applyAlignment="1">
      <alignment horizontal="left" vertical="center" wrapText="1"/>
    </xf>
    <xf numFmtId="184" fontId="50" fillId="3" borderId="0" xfId="2320" applyNumberFormat="1" applyFont="1" applyFill="1" applyAlignment="1">
      <alignment horizontal="left" wrapText="1"/>
    </xf>
    <xf numFmtId="0" fontId="50" fillId="3" borderId="0" xfId="2320" applyFont="1" applyFill="1" applyAlignment="1">
      <alignment horizontal="justify"/>
    </xf>
    <xf numFmtId="0" fontId="219" fillId="3" borderId="0" xfId="2320" applyFill="1" applyAlignment="1">
      <alignment horizontal="justify"/>
    </xf>
    <xf numFmtId="0" fontId="24" fillId="3" borderId="0" xfId="2320" applyFont="1" applyFill="1" applyBorder="1" applyAlignment="1">
      <alignment horizontal="justify"/>
    </xf>
    <xf numFmtId="0" fontId="213" fillId="3" borderId="0" xfId="2320" applyFont="1" applyFill="1" applyAlignment="1">
      <alignment horizontal="justify" vertical="center" wrapText="1"/>
    </xf>
    <xf numFmtId="165" fontId="46" fillId="0" borderId="0" xfId="15" applyNumberFormat="1" applyFont="1" applyFill="1" applyAlignment="1">
      <alignment horizontal="right"/>
    </xf>
    <xf numFmtId="0" fontId="21" fillId="0" borderId="9" xfId="16" quotePrefix="1" applyNumberFormat="1" applyFont="1" applyFill="1" applyBorder="1" applyAlignment="1">
      <alignment horizontal="center" vertical="center"/>
    </xf>
    <xf numFmtId="0" fontId="1" fillId="0" borderId="99"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165" fontId="21" fillId="0" borderId="6" xfId="16" applyNumberFormat="1" applyFont="1" applyFill="1" applyBorder="1" applyAlignment="1">
      <alignment horizontal="righ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20" fillId="0" borderId="0" xfId="0" applyFont="1" applyFill="1" applyBorder="1"/>
    <xf numFmtId="0" fontId="30" fillId="0" borderId="0" xfId="9" quotePrefix="1" applyFont="1" applyFill="1" applyBorder="1" applyAlignment="1" applyProtection="1">
      <alignment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30" fillId="0" borderId="0" xfId="9" applyNumberFormat="1" applyFont="1" applyFill="1" applyAlignment="1" applyProtection="1">
      <alignment vertical="center"/>
      <protection locked="0"/>
    </xf>
    <xf numFmtId="4" fontId="11" fillId="0" borderId="0" xfId="7" applyNumberFormat="1" applyFill="1"/>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4" fillId="0" borderId="6" xfId="5" applyNumberFormat="1" applyFont="1" applyFill="1" applyBorder="1" applyAlignment="1">
      <alignment vertical="center"/>
    </xf>
    <xf numFmtId="165" fontId="224" fillId="0" borderId="4" xfId="5" quotePrefix="1" applyNumberFormat="1" applyFont="1" applyFill="1" applyBorder="1" applyAlignment="1">
      <alignment horizontal="center" vertical="center"/>
    </xf>
    <xf numFmtId="165" fontId="224" fillId="0" borderId="4" xfId="6" applyNumberFormat="1" applyFont="1" applyFill="1" applyBorder="1" applyAlignment="1">
      <alignment horizontal="center" vertical="center"/>
    </xf>
    <xf numFmtId="165" fontId="224" fillId="0" borderId="5" xfId="6" applyNumberFormat="1" applyFont="1" applyFill="1" applyBorder="1" applyAlignment="1">
      <alignment horizontal="center" vertical="center"/>
    </xf>
    <xf numFmtId="165" fontId="224" fillId="0" borderId="3" xfId="5" applyNumberFormat="1" applyFont="1" applyFill="1" applyBorder="1" applyAlignment="1">
      <alignment vertical="center"/>
    </xf>
    <xf numFmtId="165" fontId="224" fillId="0" borderId="3" xfId="5" quotePrefix="1" applyNumberFormat="1" applyFont="1" applyFill="1" applyBorder="1" applyAlignment="1">
      <alignment horizontal="right" vertical="center"/>
    </xf>
    <xf numFmtId="165" fontId="224" fillId="0" borderId="3" xfId="6" applyNumberFormat="1" applyFont="1" applyFill="1" applyBorder="1" applyAlignment="1">
      <alignment horizontal="right" vertical="center"/>
    </xf>
    <xf numFmtId="165" fontId="59" fillId="0" borderId="0" xfId="7" applyNumberFormat="1" applyFont="1" applyFill="1" applyBorder="1"/>
    <xf numFmtId="165" fontId="224" fillId="0" borderId="0" xfId="5" applyNumberFormat="1" applyFont="1" applyFill="1" applyBorder="1" applyAlignment="1">
      <alignment vertical="center"/>
    </xf>
    <xf numFmtId="165" fontId="224" fillId="0" borderId="0" xfId="5" quotePrefix="1" applyNumberFormat="1" applyFont="1" applyFill="1" applyBorder="1" applyAlignment="1">
      <alignment horizontal="right" vertical="center"/>
    </xf>
    <xf numFmtId="165" fontId="224" fillId="0" borderId="0" xfId="6" applyNumberFormat="1" applyFont="1" applyFill="1" applyBorder="1" applyAlignment="1">
      <alignment horizontal="right" vertical="center"/>
    </xf>
    <xf numFmtId="165" fontId="224" fillId="0" borderId="0" xfId="5" applyNumberFormat="1" applyFont="1" applyFill="1" applyBorder="1" applyAlignment="1">
      <alignment horizontal="left" vertical="center"/>
    </xf>
    <xf numFmtId="165" fontId="224" fillId="0" borderId="0" xfId="5" applyNumberFormat="1" applyFont="1" applyFill="1" applyBorder="1" applyAlignment="1">
      <alignment horizontal="right" vertical="center"/>
    </xf>
    <xf numFmtId="165" fontId="224"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7" fillId="0" borderId="0" xfId="5" applyNumberFormat="1" applyFont="1" applyFill="1" applyBorder="1" applyAlignment="1">
      <alignment horizontal="right" vertical="center"/>
    </xf>
    <xf numFmtId="165" fontId="227" fillId="0" borderId="0" xfId="11" applyNumberFormat="1" applyFont="1" applyFill="1" applyBorder="1" applyAlignment="1">
      <alignment horizontal="right" vertical="center"/>
    </xf>
    <xf numFmtId="165" fontId="224"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4"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50" fillId="3" borderId="0" xfId="2320" applyFont="1" applyFill="1" applyAlignment="1">
      <alignment horizontal="justify" vertical="center" wrapText="1"/>
    </xf>
    <xf numFmtId="165" fontId="46" fillId="3" borderId="0" xfId="32"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59" fillId="3" borderId="0" xfId="18" applyNumberFormat="1" applyFont="1" applyFill="1"/>
    <xf numFmtId="165" fontId="192"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32"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46" fillId="3" borderId="0" xfId="36" applyNumberFormat="1" applyFont="1" applyFill="1" applyBorder="1" applyAlignment="1">
      <alignment vertical="center"/>
    </xf>
    <xf numFmtId="0" fontId="0" fillId="3" borderId="0" xfId="0" applyFill="1"/>
    <xf numFmtId="0" fontId="0" fillId="3" borderId="0" xfId="0" applyFill="1" applyBorder="1"/>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4"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0" fontId="163" fillId="0" borderId="0" xfId="7" applyFont="1" applyFill="1" applyAlignment="1">
      <alignment horizontal="left" vertical="center" wrapText="1"/>
    </xf>
    <xf numFmtId="0" fontId="29" fillId="0" borderId="0" xfId="7" applyFont="1" applyFill="1" applyAlignment="1">
      <alignment horizontal="left" vertical="center" wrapText="1"/>
    </xf>
    <xf numFmtId="165" fontId="25" fillId="0" borderId="7" xfId="15" applyNumberFormat="1" applyFont="1" applyFill="1" applyBorder="1" applyAlignment="1">
      <alignment horizontal="center" vertical="center"/>
    </xf>
    <xf numFmtId="168" fontId="23" fillId="3" borderId="0" xfId="7" applyNumberFormat="1" applyFont="1" applyFill="1" applyAlignment="1">
      <alignment horizontal="center" vertical="center"/>
    </xf>
    <xf numFmtId="0" fontId="30" fillId="0" borderId="7" xfId="9" quotePrefix="1" applyFont="1" applyFill="1" applyBorder="1" applyAlignment="1" applyProtection="1">
      <alignment horizontal="center" vertical="center"/>
      <protection locked="0"/>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90"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60" fillId="0" borderId="0" xfId="2320" applyFont="1" applyAlignment="1">
      <alignment horizontal="left" vertical="center" wrapText="1"/>
    </xf>
    <xf numFmtId="0" fontId="195" fillId="0" borderId="0" xfId="41" applyFont="1" applyFill="1" applyBorder="1" applyAlignment="1">
      <alignment horizontal="left" wrapText="1"/>
    </xf>
    <xf numFmtId="0" fontId="50" fillId="3" borderId="0" xfId="2320" applyFont="1" applyFill="1" applyAlignment="1">
      <alignment horizontal="justify" vertical="center" wrapText="1"/>
    </xf>
    <xf numFmtId="165" fontId="12" fillId="0" borderId="2" xfId="1" applyNumberFormat="1" applyFont="1" applyFill="1" applyBorder="1" applyAlignment="1">
      <alignment horizontal="left" vertical="top" wrapText="1"/>
    </xf>
    <xf numFmtId="0" fontId="50" fillId="3" borderId="0" xfId="2320" applyFont="1" applyFill="1" applyAlignment="1">
      <alignment horizontal="justify" vertical="top" wrapText="1"/>
    </xf>
    <xf numFmtId="0" fontId="221" fillId="0" borderId="0" xfId="2320" applyFont="1" applyFill="1" applyAlignment="1">
      <alignment horizontal="left" wrapText="1"/>
    </xf>
    <xf numFmtId="0" fontId="50" fillId="0" borderId="0" xfId="2320" applyFont="1" applyFill="1" applyAlignment="1">
      <alignment horizontal="justify" vertical="center" wrapText="1"/>
    </xf>
    <xf numFmtId="0" fontId="50" fillId="0" borderId="0" xfId="2320" applyFont="1" applyFill="1" applyAlignment="1">
      <alignment horizontal="justify" vertical="top" wrapText="1"/>
    </xf>
    <xf numFmtId="0" fontId="50" fillId="0" borderId="0" xfId="2320" applyFont="1" applyFill="1" applyAlignment="1">
      <alignment horizontal="left" vertical="center" wrapText="1"/>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65" fontId="21" fillId="0" borderId="0" xfId="12" applyNumberFormat="1" applyFont="1" applyFill="1" applyAlignment="1">
      <alignment horizontal="left"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25" fillId="0" borderId="9" xfId="12" applyNumberFormat="1" applyFont="1" applyFill="1" applyBorder="1" applyAlignment="1">
      <alignment horizontal="center" vertical="center" wrapText="1"/>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165" fontId="29" fillId="3" borderId="0" xfId="9" applyNumberFormat="1" applyFont="1" applyFill="1" applyAlignment="1" applyProtection="1">
      <alignment vertical="center" wrapText="1"/>
      <protection locked="0"/>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8"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1" xfId="27" applyNumberFormat="1" applyFont="1" applyFill="1" applyBorder="1" applyAlignment="1">
      <alignment horizontal="center" vertical="center"/>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21" fillId="0" borderId="0" xfId="7" applyNumberFormat="1" applyFont="1" applyFill="1" applyBorder="1" applyAlignment="1">
      <alignment horizontal="left" vertical="center"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3" fontId="35" fillId="3" borderId="11" xfId="29" applyNumberFormat="1" applyFont="1" applyFill="1" applyBorder="1" applyAlignment="1">
      <alignment horizontal="left" vertical="center"/>
    </xf>
    <xf numFmtId="0" fontId="25" fillId="3" borderId="101" xfId="0" applyFont="1" applyFill="1" applyBorder="1" applyAlignment="1">
      <alignment horizontal="center" vertical="center"/>
    </xf>
    <xf numFmtId="0" fontId="25" fillId="3" borderId="22" xfId="0" applyFont="1" applyFill="1" applyBorder="1" applyAlignment="1">
      <alignment horizontal="center" vertical="center"/>
    </xf>
    <xf numFmtId="0" fontId="25" fillId="3" borderId="93" xfId="0" applyFont="1" applyFill="1" applyBorder="1" applyAlignment="1">
      <alignment horizontal="center" vertical="center"/>
    </xf>
    <xf numFmtId="0" fontId="25" fillId="3" borderId="92" xfId="0" applyFont="1" applyFill="1" applyBorder="1" applyAlignment="1">
      <alignment horizontal="center" vertical="center"/>
    </xf>
    <xf numFmtId="0" fontId="29" fillId="3" borderId="0" xfId="0" applyFont="1" applyFill="1" applyAlignment="1">
      <alignment horizontal="left" vertical="top" wrapText="1"/>
    </xf>
    <xf numFmtId="0" fontId="11" fillId="3" borderId="0" xfId="18" applyFill="1" applyAlignment="1">
      <alignment wrapText="1"/>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212" fillId="0" borderId="77" xfId="0" applyFont="1" applyFill="1" applyBorder="1" applyAlignment="1">
      <alignment horizontal="center"/>
    </xf>
    <xf numFmtId="0" fontId="212" fillId="0" borderId="73" xfId="0" applyFont="1" applyFill="1" applyBorder="1" applyAlignment="1">
      <alignment horizontal="center"/>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165" fontId="215" fillId="0" borderId="81"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0" fontId="40" fillId="0" borderId="0" xfId="0" quotePrefix="1" applyFont="1" applyFill="1" applyAlignment="1">
      <alignment horizontal="left" vertical="center" wrapText="1"/>
    </xf>
    <xf numFmtId="0" fontId="21"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cellXfs>
  <cellStyles count="2718">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5" xfId="9" xr:uid="{00000000-0005-0000-0000-0000A8040000}"/>
    <cellStyle name="Normal 15 2" xfId="15" xr:uid="{00000000-0005-0000-0000-0000A9040000}"/>
    <cellStyle name="Normal 15 3" xfId="1056" xr:uid="{00000000-0005-0000-0000-0000AA04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1.png"/><Relationship Id="rId4"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 Id="rId4"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384175</xdr:colOff>
      <xdr:row>14</xdr:row>
      <xdr:rowOff>174625</xdr:rowOff>
    </xdr:from>
    <xdr:to>
      <xdr:col>11</xdr:col>
      <xdr:colOff>500062</xdr:colOff>
      <xdr:row>16</xdr:row>
      <xdr:rowOff>174625</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260975" y="2841625"/>
          <a:ext cx="1944687"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April 2016</a:t>
          </a:r>
        </a:p>
      </xdr:txBody>
    </xdr:sp>
    <xdr:clientData/>
  </xdr:twoCellAnchor>
  <xdr:twoCellAnchor editAs="oneCell">
    <xdr:from>
      <xdr:col>0</xdr:col>
      <xdr:colOff>0</xdr:colOff>
      <xdr:row>0</xdr:row>
      <xdr:rowOff>9525</xdr:rowOff>
    </xdr:from>
    <xdr:to>
      <xdr:col>11</xdr:col>
      <xdr:colOff>674155</xdr:colOff>
      <xdr:row>53</xdr:row>
      <xdr:rowOff>250641</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7377850" cy="10333806"/>
        </a:xfrm>
        <a:prstGeom prst="rect">
          <a:avLst/>
        </a:prstGeom>
      </xdr:spPr>
    </xdr:pic>
    <xdr:clientData/>
  </xdr:twoCellAnchor>
  <xdr:twoCellAnchor>
    <xdr:from>
      <xdr:col>1</xdr:col>
      <xdr:colOff>250828</xdr:colOff>
      <xdr:row>5</xdr:row>
      <xdr:rowOff>136524</xdr:rowOff>
    </xdr:from>
    <xdr:to>
      <xdr:col>8</xdr:col>
      <xdr:colOff>552453</xdr:colOff>
      <xdr:row>12</xdr:row>
      <xdr:rowOff>41273</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860428" y="1089024"/>
          <a:ext cx="4568825" cy="1238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PT" sz="3200" b="1" i="1">
              <a:solidFill>
                <a:srgbClr val="002060"/>
              </a:solidFill>
              <a:effectLst/>
              <a:latin typeface="+mn-lt"/>
              <a:ea typeface="+mn-ea"/>
              <a:cs typeface="+mn-cs"/>
            </a:rPr>
            <a:t>Statistics Information</a:t>
          </a:r>
          <a:endParaRPr lang="pt-PT" sz="3200" b="1" i="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Budget Outturn</a:t>
          </a:r>
        </a:p>
        <a:p>
          <a:pPr algn="l" eaLnBrk="1" fontAlgn="auto" latinLnBrk="0" hangingPunct="1"/>
          <a:endParaRPr lang="pt-PT" sz="3200" b="1">
            <a:solidFill>
              <a:srgbClr val="002060"/>
            </a:solidFill>
            <a:effectLst/>
          </a:endParaRPr>
        </a:p>
      </xdr:txBody>
    </xdr:sp>
    <xdr:clientData/>
  </xdr:twoCellAnchor>
  <xdr:twoCellAnchor>
    <xdr:from>
      <xdr:col>8</xdr:col>
      <xdr:colOff>345283</xdr:colOff>
      <xdr:row>14</xdr:row>
      <xdr:rowOff>178593</xdr:rowOff>
    </xdr:from>
    <xdr:to>
      <xdr:col>11</xdr:col>
      <xdr:colOff>535783</xdr:colOff>
      <xdr:row>16</xdr:row>
      <xdr:rowOff>178593</xdr:rowOff>
    </xdr:to>
    <xdr:sp macro="" textlink="">
      <xdr:nvSpPr>
        <xdr:cNvPr id="5" name="CaixaDeTexto 4">
          <a:extLst>
            <a:ext uri="{FF2B5EF4-FFF2-40B4-BE49-F238E27FC236}">
              <a16:creationId xmlns:a16="http://schemas.microsoft.com/office/drawing/2014/main" id="{00000000-0008-0000-0100-000005000000}"/>
            </a:ext>
          </a:extLst>
        </xdr:cNvPr>
        <xdr:cNvSpPr txBox="1"/>
      </xdr:nvSpPr>
      <xdr:spPr>
        <a:xfrm>
          <a:off x="5222083" y="2845593"/>
          <a:ext cx="2019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May 2022</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76200</xdr:colOff>
      <xdr:row>0</xdr:row>
      <xdr:rowOff>142875</xdr:rowOff>
    </xdr:from>
    <xdr:to>
      <xdr:col>9</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123825</xdr:colOff>
      <xdr:row>0</xdr:row>
      <xdr:rowOff>152400</xdr:rowOff>
    </xdr:from>
    <xdr:to>
      <xdr:col>9</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76200</xdr:colOff>
      <xdr:row>1</xdr:row>
      <xdr:rowOff>47625</xdr:rowOff>
    </xdr:from>
    <xdr:to>
      <xdr:col>9</xdr:col>
      <xdr:colOff>377075</xdr:colOff>
      <xdr:row>1</xdr:row>
      <xdr:rowOff>354965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9</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133350</xdr:colOff>
      <xdr:row>1</xdr:row>
      <xdr:rowOff>28575</xdr:rowOff>
    </xdr:from>
    <xdr:to>
      <xdr:col>9</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9</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158750</xdr:colOff>
      <xdr:row>0</xdr:row>
      <xdr:rowOff>161925</xdr:rowOff>
    </xdr:from>
    <xdr:to>
      <xdr:col>10</xdr:col>
      <xdr:colOff>465666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2809875</xdr:colOff>
          <xdr:row>0</xdr:row>
          <xdr:rowOff>295275</xdr:rowOff>
        </xdr:from>
        <xdr:to>
          <xdr:col>2</xdr:col>
          <xdr:colOff>5410200</xdr:colOff>
          <xdr:row>1</xdr:row>
          <xdr:rowOff>28575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9</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7</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05039" y="1555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17</xdr:col>
      <xdr:colOff>495300</xdr:colOff>
      <xdr:row>0</xdr:row>
      <xdr:rowOff>123825</xdr:rowOff>
    </xdr:from>
    <xdr:to>
      <xdr:col>18</xdr:col>
      <xdr:colOff>190500</xdr:colOff>
      <xdr:row>1</xdr:row>
      <xdr:rowOff>238125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9</xdr:col>
      <xdr:colOff>76200</xdr:colOff>
      <xdr:row>1</xdr:row>
      <xdr:rowOff>6927</xdr:rowOff>
    </xdr:from>
    <xdr:to>
      <xdr:col>9</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88323</xdr:colOff>
      <xdr:row>1</xdr:row>
      <xdr:rowOff>52820</xdr:rowOff>
    </xdr:from>
    <xdr:to>
      <xdr:col>9</xdr:col>
      <xdr:colOff>393124</xdr:colOff>
      <xdr:row>2</xdr:row>
      <xdr:rowOff>48490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pageSetUpPr fitToPage="1"/>
  </sheetPr>
  <dimension ref="A54"/>
  <sheetViews>
    <sheetView showGridLines="0" tabSelected="1" zoomScaleNormal="100" zoomScalePageLayoutView="50" workbookViewId="0">
      <selection activeCell="M17" sqref="M17"/>
    </sheetView>
  </sheetViews>
  <sheetFormatPr defaultColWidth="9.140625" defaultRowHeight="15"/>
  <cols>
    <col min="1" max="10" width="9.140625" style="1"/>
    <col min="11" max="11" width="9.140625" style="1" customWidth="1"/>
    <col min="12" max="12" width="10.85546875" style="1" customWidth="1"/>
    <col min="13" max="16384" width="9.140625" style="1"/>
  </cols>
  <sheetData>
    <row r="54" ht="21" customHeight="1"/>
  </sheetData>
  <printOptions horizontalCentered="1"/>
  <pageMargins left="7.874015748031496E-2" right="0" top="0.39370078740157483" bottom="0" header="0" footer="0"/>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U120"/>
  <sheetViews>
    <sheetView showGridLines="0" zoomScaleNormal="100" zoomScaleSheetLayoutView="100" workbookViewId="0">
      <selection activeCell="B2" sqref="B2"/>
    </sheetView>
  </sheetViews>
  <sheetFormatPr defaultColWidth="10" defaultRowHeight="15.75"/>
  <cols>
    <col min="1" max="1" width="1.140625" style="42" customWidth="1"/>
    <col min="2" max="2" width="4.42578125" style="42" customWidth="1"/>
    <col min="3" max="3" width="37.5703125" style="42" customWidth="1"/>
    <col min="4" max="4" width="9.42578125" style="42" customWidth="1"/>
    <col min="5" max="6" width="9.42578125" style="48" customWidth="1"/>
    <col min="7" max="8" width="9.42578125" style="42" customWidth="1"/>
    <col min="9" max="10" width="8.5703125" style="42" customWidth="1"/>
    <col min="11" max="11" width="11.42578125" style="42" bestFit="1" customWidth="1"/>
    <col min="12" max="12" width="8.5703125" style="42" customWidth="1"/>
    <col min="13" max="13" width="10.42578125" style="42" bestFit="1" customWidth="1"/>
    <col min="14" max="15" width="6.140625" style="42" bestFit="1" customWidth="1"/>
    <col min="16" max="16" width="8" style="42" bestFit="1" customWidth="1"/>
    <col min="17" max="17" width="7.5703125" style="42" bestFit="1" customWidth="1"/>
    <col min="18" max="16384" width="10" style="42"/>
  </cols>
  <sheetData>
    <row r="1" spans="2:21" ht="15" customHeight="1"/>
    <row r="2" spans="2:21" ht="24" customHeight="1">
      <c r="B2" s="8"/>
      <c r="C2" s="21" t="str">
        <f>IF(Indice_index!$Z$1=1,"6 - Conta Consolidada da Administração Central","6 - Central Government Account")</f>
        <v>6 - Central Government Account</v>
      </c>
      <c r="D2" s="21"/>
      <c r="E2" s="21"/>
      <c r="F2" s="21"/>
      <c r="G2" s="21"/>
      <c r="H2" s="21"/>
    </row>
    <row r="3" spans="2:21" ht="30" customHeight="1">
      <c r="B3" s="42" t="s">
        <v>5</v>
      </c>
      <c r="E3" s="42"/>
      <c r="F3" s="42"/>
    </row>
    <row r="4" spans="2:21" s="267" customFormat="1" ht="15" customHeight="1">
      <c r="C4" s="871" t="str">
        <f>+'5 - Conta AC + SS'!C5</f>
        <v>Period: January to May</v>
      </c>
      <c r="D4" s="871"/>
      <c r="E4" s="872"/>
      <c r="F4" s="873"/>
      <c r="G4" s="874"/>
      <c r="H4" s="809" t="str">
        <f>IF(Indice_index!$Z$1=1,"€ Milhões","€ Millions")</f>
        <v>€ Millions</v>
      </c>
    </row>
    <row r="5" spans="2:21" ht="37.5" customHeight="1">
      <c r="C5" s="875"/>
      <c r="D5" s="811" t="str">
        <f>IF(Indice_index!$Z$1=1,"CGE","Final execution")</f>
        <v>Final execution</v>
      </c>
      <c r="E5" s="1675" t="str">
        <f>IF(Indice_index!$Z$1=1,"Execução Acumulada","Accumulated Execution")</f>
        <v>Accumulated Execution</v>
      </c>
      <c r="F5" s="1675"/>
      <c r="G5" s="1676" t="str">
        <f>IF(Indice_index!$Z$1=1,"Variação Homóloga Acumulada","YOY Change Rate")</f>
        <v>YOY Change Rate</v>
      </c>
      <c r="H5" s="1677"/>
    </row>
    <row r="6" spans="2:21" ht="30.75" customHeight="1">
      <c r="C6" s="876"/>
      <c r="D6" s="813" t="s">
        <v>68</v>
      </c>
      <c r="E6" s="814" t="s">
        <v>68</v>
      </c>
      <c r="F6" s="814" t="s">
        <v>75</v>
      </c>
      <c r="G6" s="815" t="str">
        <f>IF(Indice_index!$Z$1=1,"Relativa (%)","Relative change (%)")</f>
        <v>Relative change (%)</v>
      </c>
      <c r="H6" s="816" t="str">
        <f>IF(Indice_index!$Z$1=1,"Contributo VHA (p.p.)","YOY Change Rate Contrib. (p.p.)")</f>
        <v>YOY Change Rate Contrib. (p.p.)</v>
      </c>
    </row>
    <row r="7" spans="2:21" ht="3" customHeight="1">
      <c r="C7" s="44"/>
      <c r="D7" s="44"/>
      <c r="E7" s="877"/>
      <c r="F7" s="878"/>
      <c r="G7" s="878"/>
      <c r="H7" s="878"/>
      <c r="J7" s="43"/>
    </row>
    <row r="8" spans="2:21" s="268" customFormat="1" ht="15" customHeight="1">
      <c r="C8" s="269" t="str">
        <f>IF(Indice_index!$Z$1=1,"Receita corrente","Current revenue")</f>
        <v>Current revenue</v>
      </c>
      <c r="D8" s="879">
        <f t="shared" ref="D8" si="0">+D10+D11+D12+D13+D16+D17</f>
        <v>62629.291973259998</v>
      </c>
      <c r="E8" s="879">
        <f t="shared" ref="E8:F8" si="1">+E10+E11+E12+E13+E16+E17</f>
        <v>20670.941873939995</v>
      </c>
      <c r="F8" s="879">
        <f t="shared" si="1"/>
        <v>24310.156588970003</v>
      </c>
      <c r="G8" s="880">
        <f>IF(IFERROR((F8-E8)/E8*100,"")&gt;500,"-",IFERROR((F8-E8)/E8*100,""))</f>
        <v>17.605461508350484</v>
      </c>
      <c r="H8" s="881">
        <f t="shared" ref="H8:H16" si="2">IFERROR((F8-E8)/$E$26*100,"")</f>
        <v>17.13857588075177</v>
      </c>
      <c r="I8" s="263"/>
      <c r="J8" s="263"/>
      <c r="K8" s="263"/>
      <c r="L8" s="270"/>
      <c r="M8" s="270"/>
      <c r="N8" s="270"/>
      <c r="O8" s="270"/>
      <c r="P8" s="270"/>
      <c r="Q8" s="270"/>
      <c r="R8" s="271"/>
      <c r="S8" s="271"/>
      <c r="T8" s="271"/>
      <c r="U8" s="271"/>
    </row>
    <row r="9" spans="2:21" s="44" customFormat="1" ht="15" customHeight="1">
      <c r="C9" s="882" t="str">
        <f>IF(Indice_index!$Z$1=1,"Receita fiscal","Tax")</f>
        <v>Tax</v>
      </c>
      <c r="D9" s="114">
        <f t="shared" ref="D9" si="3">+D10+D11</f>
        <v>46158.924833500001</v>
      </c>
      <c r="E9" s="114">
        <f t="shared" ref="E9:F9" si="4">+E10+E11</f>
        <v>14742.883572589999</v>
      </c>
      <c r="F9" s="114">
        <f t="shared" si="4"/>
        <v>17815.515419950003</v>
      </c>
      <c r="G9" s="883">
        <f t="shared" ref="G9:G23" si="5">IF(IFERROR((F9-E9)/E9*100,"")&gt;500,"-",IFERROR((F9-E9)/E9*100,""))</f>
        <v>20.841457725900025</v>
      </c>
      <c r="H9" s="884">
        <f t="shared" si="2"/>
        <v>14.470301477982369</v>
      </c>
      <c r="I9" s="26"/>
      <c r="J9" s="26"/>
      <c r="K9" s="26"/>
      <c r="L9" s="45"/>
      <c r="M9" s="45"/>
      <c r="N9" s="45"/>
      <c r="O9" s="45"/>
      <c r="P9" s="45"/>
      <c r="Q9" s="45"/>
      <c r="R9" s="46"/>
      <c r="S9" s="46"/>
      <c r="T9" s="46"/>
      <c r="U9" s="46"/>
    </row>
    <row r="10" spans="2:21" s="44" customFormat="1" ht="15" customHeight="1">
      <c r="C10" s="47" t="str">
        <f>IF(Indice_index!$Z$1=1,"Impostos diretos ","Direct taxes")</f>
        <v>Direct taxes</v>
      </c>
      <c r="D10" s="114">
        <v>19956.944554760001</v>
      </c>
      <c r="E10" s="114">
        <v>4770.5620355699994</v>
      </c>
      <c r="F10" s="114">
        <v>5722.7247265600008</v>
      </c>
      <c r="G10" s="883">
        <f t="shared" si="5"/>
        <v>19.959130263699308</v>
      </c>
      <c r="H10" s="884">
        <f t="shared" si="2"/>
        <v>4.4841301786774013</v>
      </c>
      <c r="I10" s="26"/>
      <c r="J10" s="26"/>
      <c r="K10" s="26"/>
      <c r="L10" s="45"/>
      <c r="M10" s="45"/>
      <c r="N10" s="45"/>
      <c r="O10" s="45"/>
      <c r="P10" s="45"/>
      <c r="Q10" s="45"/>
      <c r="R10" s="46"/>
      <c r="S10" s="46"/>
      <c r="T10" s="46"/>
      <c r="U10" s="46"/>
    </row>
    <row r="11" spans="2:21" s="44" customFormat="1" ht="15" customHeight="1">
      <c r="C11" s="47" t="str">
        <f>IF(Indice_index!$Z$1=1,"Impostos indiretos","Indirect taxes")</f>
        <v>Indirect taxes</v>
      </c>
      <c r="D11" s="114">
        <v>26201.980278739997</v>
      </c>
      <c r="E11" s="114">
        <v>9972.3215370199996</v>
      </c>
      <c r="F11" s="114">
        <v>12092.790693390001</v>
      </c>
      <c r="G11" s="883">
        <f t="shared" si="5"/>
        <v>21.263545790197767</v>
      </c>
      <c r="H11" s="884">
        <f t="shared" si="2"/>
        <v>9.9861712993049654</v>
      </c>
      <c r="I11" s="26"/>
      <c r="J11" s="26"/>
      <c r="K11" s="26"/>
      <c r="L11" s="45"/>
      <c r="M11" s="45"/>
      <c r="N11" s="45"/>
      <c r="O11" s="45"/>
      <c r="P11" s="45"/>
      <c r="Q11" s="45"/>
      <c r="R11" s="46"/>
      <c r="S11" s="46"/>
      <c r="T11" s="46"/>
      <c r="U11" s="46"/>
    </row>
    <row r="12" spans="2:21" s="44" customFormat="1" ht="15" customHeight="1">
      <c r="C12" s="885" t="str">
        <f>IF(Indice_index!$Z$1=1,"Contribuições para Segurança Social, CGA e ADSE","Social security, CGA and ADSE contributions")</f>
        <v>Social security, CGA and ADSE contributions</v>
      </c>
      <c r="D12" s="114">
        <v>4251.8208699400002</v>
      </c>
      <c r="E12" s="114">
        <v>1552.2116004999998</v>
      </c>
      <c r="F12" s="114">
        <v>1479.5942392899997</v>
      </c>
      <c r="G12" s="883">
        <f t="shared" si="5"/>
        <v>-4.6783158421576383</v>
      </c>
      <c r="H12" s="884">
        <f t="shared" si="2"/>
        <v>-0.34198536025299758</v>
      </c>
      <c r="I12" s="26"/>
      <c r="J12" s="26"/>
      <c r="K12" s="26"/>
      <c r="L12" s="45"/>
      <c r="M12" s="45"/>
      <c r="N12" s="45"/>
      <c r="O12" s="45"/>
      <c r="P12" s="45"/>
      <c r="Q12" s="45"/>
      <c r="R12" s="46"/>
      <c r="S12" s="46"/>
      <c r="T12" s="46"/>
      <c r="U12" s="46"/>
    </row>
    <row r="13" spans="2:21" s="44" customFormat="1" ht="15" customHeight="1">
      <c r="C13" s="885" t="str">
        <f>IF(Indice_index!$Z$1=1,"Transferências Correntes","Current transfers")</f>
        <v>Current transfers</v>
      </c>
      <c r="D13" s="114">
        <f t="shared" ref="D13" si="6">+D14+D15</f>
        <v>3580.1694037100006</v>
      </c>
      <c r="E13" s="114">
        <f t="shared" ref="E13:F13" si="7">+E14+E15</f>
        <v>1231.46806806</v>
      </c>
      <c r="F13" s="114">
        <f t="shared" si="7"/>
        <v>1287.4263876299999</v>
      </c>
      <c r="G13" s="883">
        <f t="shared" si="5"/>
        <v>4.544033338854998</v>
      </c>
      <c r="H13" s="884">
        <f t="shared" si="2"/>
        <v>0.26353100358407761</v>
      </c>
      <c r="I13" s="26"/>
      <c r="J13" s="26"/>
      <c r="K13" s="26"/>
      <c r="L13" s="45"/>
      <c r="M13" s="45"/>
      <c r="N13" s="45"/>
      <c r="O13" s="45"/>
      <c r="P13" s="45"/>
      <c r="Q13" s="45"/>
      <c r="R13" s="46"/>
      <c r="S13" s="46"/>
      <c r="T13" s="46"/>
      <c r="U13" s="46"/>
    </row>
    <row r="14" spans="2:21" s="44" customFormat="1" ht="15" customHeight="1">
      <c r="C14" s="886" t="str">
        <f>IF(Indice_index!$Z$1=1,"Administrações Públicas","General Government subsectors")</f>
        <v>General Government subsectors</v>
      </c>
      <c r="D14" s="114">
        <v>2169.0692717900001</v>
      </c>
      <c r="E14" s="114">
        <v>719.13818915999991</v>
      </c>
      <c r="F14" s="114">
        <v>811.12518077000004</v>
      </c>
      <c r="G14" s="883">
        <f t="shared" si="5"/>
        <v>12.791281703096161</v>
      </c>
      <c r="H14" s="884">
        <f t="shared" si="2"/>
        <v>0.43320500690409636</v>
      </c>
      <c r="I14" s="26"/>
      <c r="J14" s="26"/>
      <c r="K14" s="26"/>
      <c r="L14" s="45"/>
      <c r="M14" s="45"/>
      <c r="N14" s="45"/>
      <c r="O14" s="45"/>
      <c r="P14" s="45"/>
      <c r="Q14" s="45"/>
      <c r="R14" s="46"/>
      <c r="S14" s="46"/>
      <c r="T14" s="46"/>
      <c r="U14" s="46"/>
    </row>
    <row r="15" spans="2:21" s="44" customFormat="1" ht="15" customHeight="1">
      <c r="C15" s="886" t="str">
        <f>IF(Indice_index!$Z$1=1,"Outras","Others")</f>
        <v>Others</v>
      </c>
      <c r="D15" s="114">
        <v>1411.1001319200002</v>
      </c>
      <c r="E15" s="114">
        <v>512.32987890000004</v>
      </c>
      <c r="F15" s="114">
        <v>476.30120685999987</v>
      </c>
      <c r="G15" s="883">
        <f t="shared" si="5"/>
        <v>-7.0323191216869265</v>
      </c>
      <c r="H15" s="884">
        <f t="shared" si="2"/>
        <v>-0.16967400332001872</v>
      </c>
      <c r="I15" s="26"/>
      <c r="J15" s="26"/>
      <c r="K15" s="26"/>
      <c r="L15" s="45"/>
      <c r="M15" s="45"/>
      <c r="N15" s="45"/>
      <c r="O15" s="45"/>
      <c r="P15" s="45"/>
      <c r="Q15" s="45"/>
      <c r="R15" s="46"/>
      <c r="S15" s="46"/>
      <c r="T15" s="46"/>
      <c r="U15" s="46"/>
    </row>
    <row r="16" spans="2:21" s="44" customFormat="1" ht="15" customHeight="1">
      <c r="C16" s="885" t="str">
        <f>IF(Indice_index!$Z$1=1,"Outras receitas correntes","Other current revenue")</f>
        <v>Other current revenue</v>
      </c>
      <c r="D16" s="114">
        <v>8598.4130747300005</v>
      </c>
      <c r="E16" s="114">
        <v>3045.3471863699992</v>
      </c>
      <c r="F16" s="114">
        <v>3640.2476995500033</v>
      </c>
      <c r="G16" s="883">
        <f t="shared" si="5"/>
        <v>19.534735344547531</v>
      </c>
      <c r="H16" s="884">
        <f t="shared" si="2"/>
        <v>2.8016339746388379</v>
      </c>
      <c r="I16" s="26"/>
      <c r="J16" s="26"/>
      <c r="K16" s="26"/>
      <c r="L16" s="45"/>
      <c r="M16" s="45"/>
      <c r="N16" s="45"/>
      <c r="O16" s="45"/>
      <c r="P16" s="45"/>
      <c r="Q16" s="45"/>
      <c r="R16" s="46"/>
      <c r="S16" s="46"/>
      <c r="T16" s="46"/>
      <c r="U16" s="46"/>
    </row>
    <row r="17" spans="2:21" s="44" customFormat="1" ht="15" customHeight="1">
      <c r="C17" s="885" t="str">
        <f>IF(Indice_index!$Z$1=1,"Diferenças de consolidação","Consolidation differences")</f>
        <v>Consolidation differences</v>
      </c>
      <c r="D17" s="114">
        <v>39.963791379997609</v>
      </c>
      <c r="E17" s="114">
        <v>99.031446419999043</v>
      </c>
      <c r="F17" s="114">
        <v>87.372842549998808</v>
      </c>
      <c r="G17" s="883"/>
      <c r="H17" s="884"/>
      <c r="I17" s="26"/>
      <c r="J17" s="26"/>
      <c r="K17" s="26"/>
      <c r="L17" s="45"/>
      <c r="M17" s="45"/>
      <c r="N17" s="45"/>
      <c r="O17" s="45"/>
      <c r="P17" s="45"/>
      <c r="Q17" s="45"/>
      <c r="R17" s="46"/>
      <c r="S17" s="46"/>
      <c r="T17" s="46"/>
      <c r="U17" s="46"/>
    </row>
    <row r="18" spans="2:21" s="268" customFormat="1" ht="15" customHeight="1">
      <c r="C18" s="269" t="str">
        <f>IF(Indice_index!$Z$1=1,"Receita de capital","Capital revenue")</f>
        <v>Capital revenue</v>
      </c>
      <c r="D18" s="879">
        <f t="shared" ref="D18" si="8">+D19+D20+D23+D24</f>
        <v>1214.4512072300001</v>
      </c>
      <c r="E18" s="879">
        <f t="shared" ref="E18:F18" si="9">+E19+E20+E23+E24</f>
        <v>563.11362957000006</v>
      </c>
      <c r="F18" s="879">
        <f t="shared" si="9"/>
        <v>838.44023053000001</v>
      </c>
      <c r="G18" s="879">
        <f t="shared" si="5"/>
        <v>48.893613384965029</v>
      </c>
      <c r="H18" s="881">
        <f t="shared" ref="H18:H23" si="10">IFERROR((F18-E18)/$E$26*100,"")</f>
        <v>1.2966274902808292</v>
      </c>
      <c r="I18" s="263"/>
      <c r="J18" s="263"/>
      <c r="K18" s="263"/>
      <c r="L18" s="270"/>
      <c r="M18" s="270"/>
      <c r="N18" s="270"/>
      <c r="O18" s="270"/>
      <c r="P18" s="270"/>
      <c r="Q18" s="270"/>
      <c r="R18" s="271"/>
      <c r="S18" s="271"/>
      <c r="T18" s="271"/>
      <c r="U18" s="271"/>
    </row>
    <row r="19" spans="2:21" s="44" customFormat="1" ht="15" customHeight="1">
      <c r="C19" s="885" t="str">
        <f>IF(Indice_index!$Z$1=1,"Venda de bens de investimento","Sale of investment goods")</f>
        <v>Sale of investment goods</v>
      </c>
      <c r="D19" s="114">
        <v>154.44449596999999</v>
      </c>
      <c r="E19" s="114">
        <v>65.14587367</v>
      </c>
      <c r="F19" s="114">
        <v>61.857142800000005</v>
      </c>
      <c r="G19" s="883">
        <f t="shared" si="5"/>
        <v>-5.0482566043388131</v>
      </c>
      <c r="H19" s="884">
        <f t="shared" si="10"/>
        <v>-1.5488001665326564E-2</v>
      </c>
      <c r="I19" s="26"/>
      <c r="J19" s="26"/>
      <c r="K19" s="26"/>
      <c r="L19" s="45"/>
      <c r="M19" s="45"/>
      <c r="N19" s="45"/>
      <c r="O19" s="45"/>
      <c r="P19" s="45"/>
      <c r="Q19" s="45"/>
      <c r="R19" s="46"/>
      <c r="S19" s="46"/>
      <c r="T19" s="46"/>
      <c r="U19" s="46"/>
    </row>
    <row r="20" spans="2:21" s="44" customFormat="1" ht="15" customHeight="1">
      <c r="C20" s="885" t="str">
        <f>IF(Indice_index!$Z$1=1,"Transferências de Capital","Capital transfers")</f>
        <v>Capital transfers</v>
      </c>
      <c r="D20" s="114">
        <f t="shared" ref="D20" si="11">+D21+D22</f>
        <v>1020.93896993</v>
      </c>
      <c r="E20" s="114">
        <f t="shared" ref="E20:F20" si="12">+E21+E22</f>
        <v>492.50573947000004</v>
      </c>
      <c r="F20" s="114">
        <f t="shared" si="12"/>
        <v>760.46300631999998</v>
      </c>
      <c r="G20" s="883">
        <f t="shared" si="5"/>
        <v>54.406932828510115</v>
      </c>
      <c r="H20" s="884">
        <f t="shared" si="10"/>
        <v>1.2619222305682798</v>
      </c>
      <c r="I20" s="26"/>
      <c r="J20" s="26"/>
      <c r="K20" s="26"/>
      <c r="L20" s="45"/>
      <c r="M20" s="45"/>
      <c r="N20" s="45"/>
      <c r="O20" s="45"/>
      <c r="P20" s="45"/>
      <c r="Q20" s="45"/>
      <c r="R20" s="46"/>
      <c r="S20" s="46"/>
      <c r="T20" s="46"/>
      <c r="U20" s="46"/>
    </row>
    <row r="21" spans="2:21" s="44" customFormat="1" ht="15" customHeight="1">
      <c r="C21" s="886" t="str">
        <f>IF(Indice_index!$Z$1=1,"Administrações Públicas","General Government subsectors")</f>
        <v>General Government subsectors</v>
      </c>
      <c r="D21" s="114">
        <v>10.4803914</v>
      </c>
      <c r="E21" s="114">
        <v>3.9224571599999996</v>
      </c>
      <c r="F21" s="114">
        <v>5.3330327799999999</v>
      </c>
      <c r="G21" s="883">
        <f t="shared" si="5"/>
        <v>35.961530297503629</v>
      </c>
      <c r="H21" s="884">
        <f t="shared" si="10"/>
        <v>6.6429873453369833E-3</v>
      </c>
      <c r="I21" s="26"/>
      <c r="J21" s="26"/>
      <c r="K21" s="26"/>
      <c r="L21" s="45"/>
      <c r="M21" s="45"/>
      <c r="N21" s="45"/>
      <c r="O21" s="45"/>
      <c r="P21" s="45"/>
      <c r="Q21" s="45"/>
      <c r="R21" s="46"/>
      <c r="S21" s="46"/>
      <c r="T21" s="46"/>
      <c r="U21" s="46"/>
    </row>
    <row r="22" spans="2:21" s="44" customFormat="1" ht="15" customHeight="1">
      <c r="B22" s="47"/>
      <c r="C22" s="886" t="str">
        <f>IF(Indice_index!$Z$1=1,"Outras","Others")</f>
        <v>Others</v>
      </c>
      <c r="D22" s="114">
        <v>1010.45857853</v>
      </c>
      <c r="E22" s="114">
        <v>488.58328231000002</v>
      </c>
      <c r="F22" s="114">
        <v>755.12997353999992</v>
      </c>
      <c r="G22" s="883">
        <f t="shared" si="5"/>
        <v>54.555016694345127</v>
      </c>
      <c r="H22" s="884">
        <f t="shared" si="10"/>
        <v>1.2552792432229427</v>
      </c>
      <c r="I22" s="26"/>
      <c r="J22" s="26"/>
      <c r="K22" s="26"/>
      <c r="L22" s="45"/>
      <c r="M22" s="45"/>
      <c r="N22" s="45"/>
      <c r="O22" s="45"/>
      <c r="P22" s="45"/>
      <c r="Q22" s="45"/>
      <c r="R22" s="46"/>
      <c r="S22" s="46"/>
      <c r="T22" s="46"/>
      <c r="U22" s="46"/>
    </row>
    <row r="23" spans="2:21" s="44" customFormat="1" ht="15" customHeight="1">
      <c r="C23" s="885" t="str">
        <f>IF(Indice_index!$Z$1=1,"Outras receitas de capital","Other capital revenue")</f>
        <v>Other capital revenue</v>
      </c>
      <c r="D23" s="114">
        <v>26.772300769999998</v>
      </c>
      <c r="E23" s="114">
        <v>4.4679302900000009</v>
      </c>
      <c r="F23" s="114">
        <v>15.912189329999999</v>
      </c>
      <c r="G23" s="883">
        <f t="shared" si="5"/>
        <v>256.14229178136969</v>
      </c>
      <c r="H23" s="884">
        <f t="shared" si="10"/>
        <v>5.3895776236000982E-2</v>
      </c>
      <c r="I23" s="26"/>
      <c r="J23" s="26"/>
      <c r="K23" s="26"/>
      <c r="L23" s="45"/>
      <c r="M23" s="45"/>
      <c r="N23" s="45"/>
      <c r="O23" s="45"/>
      <c r="P23" s="45"/>
      <c r="Q23" s="45"/>
      <c r="R23" s="46"/>
      <c r="S23" s="46"/>
      <c r="T23" s="46"/>
      <c r="U23" s="46"/>
    </row>
    <row r="24" spans="2:21" s="44" customFormat="1" ht="15" customHeight="1">
      <c r="C24" s="885" t="str">
        <f>IF(Indice_index!$Z$1=1,"Diferenças de consolidação","Consolidation differences")</f>
        <v>Consolidation differences</v>
      </c>
      <c r="D24" s="114">
        <v>12.295440560000369</v>
      </c>
      <c r="E24" s="114">
        <v>0.99408614000003226</v>
      </c>
      <c r="F24" s="114">
        <v>0.20789207999999998</v>
      </c>
      <c r="G24" s="884"/>
      <c r="H24" s="884"/>
      <c r="I24" s="26"/>
      <c r="J24" s="26"/>
      <c r="K24" s="26"/>
      <c r="L24" s="45"/>
      <c r="M24" s="45"/>
      <c r="N24" s="45"/>
      <c r="O24" s="45"/>
      <c r="P24" s="45"/>
      <c r="Q24" s="45"/>
      <c r="R24" s="46"/>
      <c r="S24" s="46"/>
      <c r="T24" s="46"/>
      <c r="U24" s="46"/>
    </row>
    <row r="25" spans="2:21" s="44" customFormat="1" ht="4.5" customHeight="1">
      <c r="C25" s="887"/>
      <c r="D25" s="887"/>
      <c r="E25" s="114"/>
      <c r="F25" s="114"/>
      <c r="G25" s="884"/>
      <c r="H25" s="884"/>
      <c r="I25" s="26"/>
      <c r="J25" s="26"/>
      <c r="K25" s="26"/>
      <c r="L25" s="45"/>
      <c r="M25" s="45"/>
      <c r="N25" s="45"/>
      <c r="O25" s="45"/>
      <c r="P25" s="45"/>
      <c r="Q25" s="45"/>
      <c r="R25" s="46"/>
      <c r="S25" s="46"/>
      <c r="T25" s="46"/>
      <c r="U25" s="46"/>
    </row>
    <row r="26" spans="2:21" s="269" customFormat="1" ht="15" customHeight="1">
      <c r="C26" s="888" t="str">
        <f>IF(Indice_index!$Z$1=1,"Receita efetiva","Effective revenue")</f>
        <v>Effective revenue</v>
      </c>
      <c r="D26" s="889">
        <f t="shared" ref="D26" si="13">+D8+D18</f>
        <v>63843.743180489997</v>
      </c>
      <c r="E26" s="889">
        <f t="shared" ref="E26:F26" si="14">+E8+E18</f>
        <v>21234.055503509997</v>
      </c>
      <c r="F26" s="889">
        <f t="shared" si="14"/>
        <v>25148.596819500002</v>
      </c>
      <c r="G26" s="890">
        <f t="shared" ref="G26" si="15">IF(IFERROR((F26-E26)/E26*100,"")&gt;500,"-",IFERROR((F26-E26)/E26*100,""))</f>
        <v>18.435203371032586</v>
      </c>
      <c r="H26" s="891"/>
      <c r="I26" s="263"/>
      <c r="J26" s="263"/>
      <c r="K26" s="263"/>
      <c r="L26" s="270"/>
      <c r="M26" s="270"/>
      <c r="N26" s="270"/>
      <c r="O26" s="270"/>
      <c r="P26" s="270"/>
      <c r="Q26" s="270"/>
      <c r="R26" s="271"/>
      <c r="S26" s="271"/>
      <c r="T26" s="271"/>
      <c r="U26" s="271"/>
    </row>
    <row r="27" spans="2:21" s="44" customFormat="1" ht="4.5" customHeight="1">
      <c r="C27" s="887"/>
      <c r="D27" s="887"/>
      <c r="E27" s="114"/>
      <c r="F27" s="114"/>
      <c r="G27" s="884"/>
      <c r="H27" s="884"/>
      <c r="I27" s="26"/>
      <c r="J27" s="26"/>
      <c r="K27" s="26"/>
      <c r="L27" s="45"/>
      <c r="M27" s="45"/>
      <c r="N27" s="45"/>
      <c r="O27" s="45"/>
      <c r="P27" s="45"/>
      <c r="Q27" s="45"/>
      <c r="R27" s="46"/>
      <c r="S27" s="46"/>
      <c r="T27" s="46"/>
      <c r="U27" s="46"/>
    </row>
    <row r="28" spans="2:21" s="268" customFormat="1" ht="15" customHeight="1">
      <c r="C28" s="269" t="str">
        <f>IF(Indice_index!$Z$1=1,"Despesa corrente","Current expenditure")</f>
        <v>Current expenditure</v>
      </c>
      <c r="D28" s="879">
        <f t="shared" ref="D28:F28" si="16">+D29+D33+D34+D35+D38+D39+D40</f>
        <v>68940.759742010036</v>
      </c>
      <c r="E28" s="879">
        <f>+E29+E33+E34+E35+E38+E39+E40</f>
        <v>25277.943603339976</v>
      </c>
      <c r="F28" s="879">
        <f t="shared" si="16"/>
        <v>25748.329230780007</v>
      </c>
      <c r="G28" s="879">
        <f t="shared" ref="G28:G46" si="17">IF(IFERROR((F28-E28)/E28*100,"")&gt;500,"-",IFERROR((F28-E28)/E28*100,""))</f>
        <v>1.8608540109958918</v>
      </c>
      <c r="H28" s="881">
        <f>IFERROR((F28-E28)/$E$49*100,"")</f>
        <v>1.7437963128004028</v>
      </c>
      <c r="I28" s="263"/>
      <c r="J28" s="263"/>
      <c r="K28" s="263"/>
      <c r="L28" s="270"/>
      <c r="M28" s="270"/>
      <c r="N28" s="270"/>
      <c r="O28" s="270"/>
      <c r="P28" s="270"/>
      <c r="Q28" s="270"/>
      <c r="R28" s="271"/>
      <c r="S28" s="271"/>
      <c r="T28" s="271"/>
      <c r="U28" s="271"/>
    </row>
    <row r="29" spans="2:21" s="44" customFormat="1" ht="15" customHeight="1">
      <c r="C29" s="885" t="str">
        <f>IF(Indice_index!$Z$1=1,"Despesas com o pessoal","Employees")</f>
        <v>Employees</v>
      </c>
      <c r="D29" s="114">
        <f t="shared" ref="D29" si="18">+D30+D31+D32</f>
        <v>18714.033484429998</v>
      </c>
      <c r="E29" s="114">
        <f t="shared" ref="E29:F29" si="19">+E30+E31+E32</f>
        <v>6817.6238519699991</v>
      </c>
      <c r="F29" s="114">
        <f t="shared" si="19"/>
        <v>6863.6770916000078</v>
      </c>
      <c r="G29" s="883">
        <f t="shared" si="17"/>
        <v>0.67550279437463023</v>
      </c>
      <c r="H29" s="884">
        <f t="shared" ref="H29:H46" si="20">IFERROR((F29-E29)/$E$49*100,"")</f>
        <v>0.17072687763947619</v>
      </c>
      <c r="I29" s="26"/>
      <c r="J29" s="26"/>
      <c r="K29" s="26"/>
      <c r="L29" s="45"/>
      <c r="M29" s="45"/>
      <c r="N29" s="45"/>
      <c r="O29" s="45"/>
      <c r="P29" s="45"/>
      <c r="Q29" s="45"/>
      <c r="R29" s="46"/>
      <c r="S29" s="46"/>
      <c r="T29" s="46"/>
      <c r="U29" s="46"/>
    </row>
    <row r="30" spans="2:21" s="44" customFormat="1" ht="15" customHeight="1">
      <c r="C30" s="892" t="str">
        <f>IF(Indice_index!$Z$1=1,"Remunerações Certas e Permanentes","Certain and permanent wages")</f>
        <v>Certain and permanent wages</v>
      </c>
      <c r="D30" s="114">
        <v>13299.923762189999</v>
      </c>
      <c r="E30" s="114">
        <v>4766.7202765800002</v>
      </c>
      <c r="F30" s="114">
        <v>4845.6956576600087</v>
      </c>
      <c r="G30" s="883">
        <f t="shared" si="17"/>
        <v>1.6568075426626725</v>
      </c>
      <c r="H30" s="884">
        <f t="shared" si="20"/>
        <v>0.29277463063405934</v>
      </c>
      <c r="I30" s="26"/>
      <c r="J30" s="26"/>
      <c r="K30" s="26"/>
      <c r="L30" s="45"/>
      <c r="M30" s="45"/>
      <c r="N30" s="45"/>
      <c r="O30" s="45"/>
      <c r="P30" s="45"/>
      <c r="Q30" s="45"/>
      <c r="R30" s="46"/>
      <c r="S30" s="46"/>
      <c r="T30" s="46"/>
      <c r="U30" s="46"/>
    </row>
    <row r="31" spans="2:21" s="44" customFormat="1" ht="15" customHeight="1">
      <c r="C31" s="892" t="str">
        <f>IF(Indice_index!$Z$1=1,"Abonos Variáveis ou Eventuais","Variable or contingent bonuses")</f>
        <v>Variable or contingent bonuses</v>
      </c>
      <c r="D31" s="114">
        <v>1331.9491322400004</v>
      </c>
      <c r="E31" s="114">
        <v>533.14232773999959</v>
      </c>
      <c r="F31" s="114">
        <v>526.99634788999992</v>
      </c>
      <c r="G31" s="883">
        <f t="shared" si="17"/>
        <v>-1.1527840747615345</v>
      </c>
      <c r="H31" s="884">
        <f t="shared" si="20"/>
        <v>-2.2784150653798022E-2</v>
      </c>
      <c r="I31" s="26"/>
      <c r="J31" s="26"/>
      <c r="K31" s="26"/>
      <c r="L31" s="45"/>
      <c r="M31" s="45"/>
      <c r="N31" s="45"/>
      <c r="O31" s="45"/>
      <c r="P31" s="45"/>
      <c r="Q31" s="45"/>
      <c r="R31" s="46"/>
      <c r="S31" s="46"/>
      <c r="T31" s="46"/>
      <c r="U31" s="46"/>
    </row>
    <row r="32" spans="2:21" s="44" customFormat="1" ht="15" customHeight="1">
      <c r="C32" s="892" t="str">
        <f>IF(Indice_index!$Z$1=1,"Segurança social","Social security")</f>
        <v>Social security</v>
      </c>
      <c r="D32" s="114">
        <v>4082.1605899999968</v>
      </c>
      <c r="E32" s="114">
        <v>1517.7612476499989</v>
      </c>
      <c r="F32" s="114">
        <v>1490.9850860499987</v>
      </c>
      <c r="G32" s="883">
        <f t="shared" si="17"/>
        <v>-1.764187986843035</v>
      </c>
      <c r="H32" s="884">
        <f t="shared" si="20"/>
        <v>-9.9263602340785545E-2</v>
      </c>
      <c r="I32" s="26"/>
      <c r="J32" s="26"/>
      <c r="K32" s="26"/>
      <c r="L32" s="45"/>
      <c r="M32" s="45"/>
      <c r="N32" s="45"/>
      <c r="O32" s="45"/>
      <c r="P32" s="45"/>
      <c r="Q32" s="45"/>
      <c r="R32" s="46"/>
      <c r="S32" s="46"/>
      <c r="T32" s="46"/>
      <c r="U32" s="46"/>
    </row>
    <row r="33" spans="3:21" s="44" customFormat="1" ht="15" customHeight="1">
      <c r="C33" s="885" t="str">
        <f>IF(Indice_index!$Z$1=1,"Aquisição de bens e serviços","Purchase of goods and services")</f>
        <v>Purchase of goods and services</v>
      </c>
      <c r="D33" s="114">
        <v>11372.99176786004</v>
      </c>
      <c r="E33" s="114">
        <v>3560.9406017199749</v>
      </c>
      <c r="F33" s="114">
        <v>4044.8127388599969</v>
      </c>
      <c r="G33" s="883">
        <f t="shared" si="17"/>
        <v>13.588323739696929</v>
      </c>
      <c r="H33" s="884">
        <f t="shared" si="20"/>
        <v>1.793793005971877</v>
      </c>
      <c r="I33" s="26"/>
      <c r="J33" s="26"/>
      <c r="K33" s="26"/>
      <c r="L33" s="45"/>
      <c r="M33" s="45"/>
      <c r="N33" s="45"/>
      <c r="O33" s="45"/>
      <c r="P33" s="45"/>
      <c r="Q33" s="45"/>
      <c r="R33" s="46"/>
      <c r="S33" s="46"/>
      <c r="T33" s="46"/>
      <c r="U33" s="46"/>
    </row>
    <row r="34" spans="3:21" s="44" customFormat="1" ht="15" customHeight="1">
      <c r="C34" s="885" t="str">
        <f>IF(Indice_index!$Z$1=1,"Juros e outros encargos","Interests and other charges")</f>
        <v>Interests and other charges</v>
      </c>
      <c r="D34" s="114">
        <v>6796.6822999299993</v>
      </c>
      <c r="E34" s="114">
        <v>3308.9961601399991</v>
      </c>
      <c r="F34" s="114">
        <v>2858.58133112</v>
      </c>
      <c r="G34" s="883">
        <f t="shared" si="17"/>
        <v>-13.611826887128897</v>
      </c>
      <c r="H34" s="884">
        <f t="shared" si="20"/>
        <v>-1.6697613027639364</v>
      </c>
      <c r="I34" s="26"/>
      <c r="J34" s="26"/>
      <c r="K34" s="26"/>
      <c r="L34" s="45"/>
      <c r="M34" s="45"/>
      <c r="N34" s="45"/>
      <c r="O34" s="45"/>
      <c r="P34" s="45"/>
      <c r="Q34" s="45"/>
      <c r="R34" s="46"/>
      <c r="S34" s="46"/>
      <c r="T34" s="46"/>
      <c r="U34" s="46"/>
    </row>
    <row r="35" spans="3:21" s="44" customFormat="1" ht="15" customHeight="1">
      <c r="C35" s="885" t="str">
        <f>IF(Indice_index!$Z$1=1,"Transferências Correntes","Current transfers")</f>
        <v>Current transfers</v>
      </c>
      <c r="D35" s="114">
        <f t="shared" ref="D35" si="21">+D36+D37</f>
        <v>30173.699127129999</v>
      </c>
      <c r="E35" s="114">
        <f t="shared" ref="E35:F35" si="22">+E36+E37</f>
        <v>11010.913240940001</v>
      </c>
      <c r="F35" s="114">
        <f t="shared" si="22"/>
        <v>11323.876020710004</v>
      </c>
      <c r="G35" s="883">
        <f t="shared" si="17"/>
        <v>2.8422963011493638</v>
      </c>
      <c r="H35" s="884">
        <f t="shared" si="20"/>
        <v>1.1602041167303137</v>
      </c>
      <c r="I35" s="26"/>
      <c r="J35" s="26"/>
      <c r="K35" s="26"/>
      <c r="L35" s="45"/>
      <c r="M35" s="45"/>
      <c r="N35" s="45"/>
      <c r="O35" s="45"/>
      <c r="P35" s="45"/>
      <c r="Q35" s="45"/>
      <c r="R35" s="46"/>
      <c r="S35" s="46"/>
      <c r="T35" s="46"/>
      <c r="U35" s="46"/>
    </row>
    <row r="36" spans="3:21" s="44" customFormat="1" ht="15" customHeight="1">
      <c r="C36" s="886" t="str">
        <f>IF(Indice_index!$Z$1=1,"Administrações Públicas","General Government subsectors")</f>
        <v>General Government subsectors</v>
      </c>
      <c r="D36" s="114">
        <v>15062.905607920004</v>
      </c>
      <c r="E36" s="114">
        <v>5704.2149736600022</v>
      </c>
      <c r="F36" s="114">
        <v>5829.5299574400005</v>
      </c>
      <c r="G36" s="883">
        <f t="shared" si="17"/>
        <v>2.1968839596448855</v>
      </c>
      <c r="H36" s="884">
        <f t="shared" si="20"/>
        <v>0.46456310292359554</v>
      </c>
      <c r="I36" s="26"/>
      <c r="J36" s="26"/>
      <c r="K36" s="26"/>
      <c r="L36" s="45"/>
      <c r="M36" s="45"/>
      <c r="N36" s="45"/>
      <c r="O36" s="45"/>
      <c r="P36" s="45"/>
      <c r="Q36" s="45"/>
      <c r="R36" s="46"/>
      <c r="S36" s="46"/>
      <c r="T36" s="46"/>
      <c r="U36" s="46"/>
    </row>
    <row r="37" spans="3:21" s="44" customFormat="1" ht="15" customHeight="1">
      <c r="C37" s="886" t="str">
        <f>IF(Indice_index!$Z$1=1,"Outras","Others")</f>
        <v>Others</v>
      </c>
      <c r="D37" s="114">
        <v>15110.793519209996</v>
      </c>
      <c r="E37" s="114">
        <v>5306.6982672799986</v>
      </c>
      <c r="F37" s="114">
        <v>5494.3460632700035</v>
      </c>
      <c r="G37" s="883">
        <f t="shared" si="17"/>
        <v>3.5360555007810079</v>
      </c>
      <c r="H37" s="884">
        <f t="shared" si="20"/>
        <v>0.69564101380671828</v>
      </c>
      <c r="I37" s="26"/>
      <c r="J37" s="26"/>
      <c r="K37" s="26"/>
      <c r="L37" s="45"/>
      <c r="M37" s="45"/>
      <c r="N37" s="45"/>
      <c r="O37" s="45"/>
      <c r="P37" s="45"/>
      <c r="Q37" s="45"/>
      <c r="R37" s="46"/>
      <c r="S37" s="46"/>
      <c r="T37" s="46"/>
      <c r="U37" s="46"/>
    </row>
    <row r="38" spans="3:21" s="44" customFormat="1" ht="15" customHeight="1">
      <c r="C38" s="885" t="str">
        <f>IF(Indice_index!$Z$1=1,"Subsídios","Subsidies")</f>
        <v>Subsidies</v>
      </c>
      <c r="D38" s="114">
        <v>1111.77722782</v>
      </c>
      <c r="E38" s="114">
        <v>360.90562991000019</v>
      </c>
      <c r="F38" s="114">
        <v>426.38638499000007</v>
      </c>
      <c r="G38" s="883">
        <f t="shared" si="17"/>
        <v>18.143456253738396</v>
      </c>
      <c r="H38" s="884">
        <f t="shared" si="20"/>
        <v>0.24274784901340823</v>
      </c>
      <c r="I38" s="26"/>
      <c r="J38" s="26"/>
      <c r="K38" s="26"/>
      <c r="L38" s="45"/>
      <c r="M38" s="45"/>
      <c r="N38" s="45"/>
      <c r="O38" s="45"/>
      <c r="P38" s="45"/>
      <c r="Q38" s="45"/>
      <c r="R38" s="46"/>
      <c r="S38" s="46"/>
      <c r="T38" s="46"/>
      <c r="U38" s="46"/>
    </row>
    <row r="39" spans="3:21" s="44" customFormat="1" ht="15" customHeight="1">
      <c r="C39" s="885" t="str">
        <f>IF(Indice_index!$Z$1=1,"Outras despesas correntes","Other current expenditure")</f>
        <v>Other current expenditure</v>
      </c>
      <c r="D39" s="114">
        <v>637.71143391999976</v>
      </c>
      <c r="E39" s="114">
        <v>201.20122517000004</v>
      </c>
      <c r="F39" s="114">
        <v>219.45356834000009</v>
      </c>
      <c r="G39" s="883">
        <f>IF(IFERROR((F39-E39)/E39*100,"")&gt;500,"-",IFERROR((F39-E39)/E39*100,""))</f>
        <v>9.0716858978260078</v>
      </c>
      <c r="H39" s="884">
        <f>IFERROR((F39-E39)/$E$49*100,"")</f>
        <v>6.7664415881566103E-2</v>
      </c>
      <c r="I39" s="26"/>
      <c r="J39" s="26"/>
      <c r="K39" s="26"/>
      <c r="L39" s="45"/>
      <c r="M39" s="45"/>
      <c r="N39" s="45"/>
      <c r="O39" s="45"/>
      <c r="P39" s="45"/>
      <c r="Q39" s="45"/>
      <c r="R39" s="46"/>
      <c r="S39" s="46"/>
      <c r="T39" s="46"/>
      <c r="U39" s="46"/>
    </row>
    <row r="40" spans="3:21" s="44" customFormat="1" ht="15" customHeight="1">
      <c r="C40" s="885" t="str">
        <f>IF(Indice_index!$Z$1=1,"Diferenças de consolidação","Consolidation differences")</f>
        <v>Consolidation differences</v>
      </c>
      <c r="D40" s="114">
        <v>133.86440091999941</v>
      </c>
      <c r="E40" s="114">
        <v>17.362893489999976</v>
      </c>
      <c r="F40" s="114">
        <v>11.542095159999178</v>
      </c>
      <c r="G40" s="883"/>
      <c r="H40" s="884"/>
      <c r="I40" s="26"/>
      <c r="J40" s="26"/>
      <c r="K40" s="26"/>
      <c r="L40" s="45"/>
      <c r="M40" s="45"/>
      <c r="N40" s="45"/>
      <c r="O40" s="45"/>
      <c r="P40" s="45"/>
      <c r="Q40" s="45"/>
      <c r="R40" s="46"/>
      <c r="S40" s="46"/>
      <c r="T40" s="46"/>
      <c r="U40" s="46"/>
    </row>
    <row r="41" spans="3:21" s="268" customFormat="1" ht="15" customHeight="1">
      <c r="C41" s="269" t="str">
        <f>IF(Indice_index!$Z$1=1,"Despesa de capital","Capital expenditure")</f>
        <v>Capital expenditure</v>
      </c>
      <c r="D41" s="879">
        <f t="shared" ref="D41" si="23">+D42+D43+D46+D47</f>
        <v>5525.7031684999965</v>
      </c>
      <c r="E41" s="879">
        <f t="shared" ref="E41:F41" si="24">+E42+E43+E46+E47</f>
        <v>1696.85981763</v>
      </c>
      <c r="F41" s="879">
        <f t="shared" si="24"/>
        <v>1765.0422465399997</v>
      </c>
      <c r="G41" s="879">
        <f t="shared" si="17"/>
        <v>4.0181533089297856</v>
      </c>
      <c r="H41" s="881">
        <f t="shared" si="20"/>
        <v>0.25276339495766387</v>
      </c>
      <c r="I41" s="263"/>
      <c r="J41" s="263"/>
      <c r="K41" s="263"/>
      <c r="L41" s="270"/>
      <c r="M41" s="270"/>
      <c r="N41" s="270"/>
      <c r="O41" s="270"/>
      <c r="P41" s="270"/>
      <c r="Q41" s="270"/>
      <c r="R41" s="271"/>
      <c r="S41" s="271"/>
      <c r="T41" s="271"/>
      <c r="U41" s="271"/>
    </row>
    <row r="42" spans="3:21" s="44" customFormat="1" ht="15" customHeight="1">
      <c r="C42" s="885" t="str">
        <f>IF(Indice_index!$Z$1=1,"Investimento","Investments")</f>
        <v>Investments</v>
      </c>
      <c r="D42" s="114">
        <v>3423.9422135999971</v>
      </c>
      <c r="E42" s="114">
        <v>1151.9206001800001</v>
      </c>
      <c r="F42" s="114">
        <v>1272.9797226899998</v>
      </c>
      <c r="G42" s="883">
        <f t="shared" si="17"/>
        <v>10.509328723792501</v>
      </c>
      <c r="H42" s="884">
        <f t="shared" si="20"/>
        <v>0.44878593041345172</v>
      </c>
      <c r="I42" s="26"/>
      <c r="J42" s="26"/>
      <c r="K42" s="26"/>
      <c r="L42" s="45"/>
      <c r="M42" s="45"/>
      <c r="N42" s="45"/>
      <c r="O42" s="45"/>
      <c r="P42" s="45"/>
      <c r="Q42" s="45"/>
      <c r="R42" s="46"/>
      <c r="S42" s="46"/>
      <c r="T42" s="46"/>
      <c r="U42" s="46"/>
    </row>
    <row r="43" spans="3:21" s="44" customFormat="1" ht="15" customHeight="1">
      <c r="C43" s="885" t="str">
        <f>IF(Indice_index!$Z$1=1,"Transferências de capital","Capital transfers")</f>
        <v>Capital transfers</v>
      </c>
      <c r="D43" s="114">
        <f t="shared" ref="D43" si="25">+D44+D45</f>
        <v>1900.2181322400002</v>
      </c>
      <c r="E43" s="114">
        <f t="shared" ref="E43:F43" si="26">+E44+E45</f>
        <v>533.02718385999992</v>
      </c>
      <c r="F43" s="114">
        <f t="shared" si="26"/>
        <v>459.93419991000002</v>
      </c>
      <c r="G43" s="883">
        <f t="shared" si="17"/>
        <v>-13.712806056285084</v>
      </c>
      <c r="H43" s="884">
        <f t="shared" si="20"/>
        <v>-0.27096762415394682</v>
      </c>
      <c r="I43" s="26"/>
      <c r="J43" s="26"/>
      <c r="K43" s="26"/>
      <c r="L43" s="45"/>
      <c r="M43" s="45"/>
      <c r="N43" s="45"/>
      <c r="O43" s="45"/>
      <c r="P43" s="45"/>
      <c r="Q43" s="45"/>
      <c r="R43" s="46"/>
      <c r="S43" s="46"/>
      <c r="T43" s="46"/>
      <c r="U43" s="46"/>
    </row>
    <row r="44" spans="3:21" s="44" customFormat="1" ht="15" customHeight="1">
      <c r="C44" s="886" t="str">
        <f>IF(Indice_index!$Z$1=1,"Administrações Públicas","General Government subsectors")</f>
        <v>General Government subsectors</v>
      </c>
      <c r="D44" s="114">
        <v>607.72723998000015</v>
      </c>
      <c r="E44" s="114">
        <v>249.49488801999999</v>
      </c>
      <c r="F44" s="114">
        <v>254.72595004999999</v>
      </c>
      <c r="G44" s="883">
        <f t="shared" si="17"/>
        <v>2.0966610063692657</v>
      </c>
      <c r="H44" s="884">
        <f t="shared" si="20"/>
        <v>1.9392400931950524E-2</v>
      </c>
      <c r="I44" s="26"/>
      <c r="J44" s="26"/>
      <c r="K44" s="26"/>
      <c r="L44" s="45"/>
      <c r="M44" s="45"/>
      <c r="N44" s="45"/>
      <c r="O44" s="45"/>
      <c r="P44" s="45"/>
      <c r="Q44" s="45"/>
      <c r="R44" s="46"/>
      <c r="S44" s="46"/>
      <c r="T44" s="46"/>
      <c r="U44" s="46"/>
    </row>
    <row r="45" spans="3:21" s="44" customFormat="1" ht="15" customHeight="1">
      <c r="C45" s="886" t="str">
        <f>IF(Indice_index!$Z$1=1,"Outras","Others")</f>
        <v>Others</v>
      </c>
      <c r="D45" s="114">
        <v>1292.49089226</v>
      </c>
      <c r="E45" s="114">
        <v>283.53229583999996</v>
      </c>
      <c r="F45" s="114">
        <v>205.20824986000002</v>
      </c>
      <c r="G45" s="883">
        <f t="shared" si="17"/>
        <v>-27.624382523322478</v>
      </c>
      <c r="H45" s="884">
        <f t="shared" si="20"/>
        <v>-0.29036002508589742</v>
      </c>
      <c r="I45" s="26"/>
      <c r="J45" s="26"/>
      <c r="K45" s="26"/>
      <c r="L45" s="45"/>
      <c r="M45" s="45"/>
      <c r="N45" s="45"/>
      <c r="O45" s="45"/>
      <c r="P45" s="45"/>
      <c r="Q45" s="45"/>
      <c r="R45" s="46"/>
      <c r="S45" s="46"/>
      <c r="T45" s="46"/>
      <c r="U45" s="46"/>
    </row>
    <row r="46" spans="3:21" s="44" customFormat="1" ht="15" customHeight="1">
      <c r="C46" s="885" t="str">
        <f>IF(Indice_index!$Z$1=1,"Outras despesas de capital","Other capital expenditure")</f>
        <v>Other capital expenditure</v>
      </c>
      <c r="D46" s="114">
        <v>149.79872605000003</v>
      </c>
      <c r="E46" s="114">
        <v>8.2111267099999985</v>
      </c>
      <c r="F46" s="114">
        <v>18.380391979999999</v>
      </c>
      <c r="G46" s="883">
        <f t="shared" si="17"/>
        <v>123.84737964907136</v>
      </c>
      <c r="H46" s="884">
        <f t="shared" si="20"/>
        <v>3.7699126519285406E-2</v>
      </c>
      <c r="I46" s="26"/>
      <c r="J46" s="26"/>
      <c r="K46" s="26"/>
      <c r="L46" s="45"/>
      <c r="M46" s="45"/>
      <c r="N46" s="45"/>
      <c r="O46" s="45"/>
      <c r="P46" s="45"/>
      <c r="Q46" s="45"/>
      <c r="R46" s="46"/>
      <c r="S46" s="46"/>
      <c r="T46" s="46"/>
      <c r="U46" s="46"/>
    </row>
    <row r="47" spans="3:21" s="44" customFormat="1" ht="15" customHeight="1">
      <c r="C47" s="885" t="str">
        <f>IF(Indice_index!$Z$1=1,"Diferenças de consolidação","Consolidation differences")</f>
        <v>Consolidation differences</v>
      </c>
      <c r="D47" s="114">
        <v>51.744096609999815</v>
      </c>
      <c r="E47" s="114">
        <v>3.7009068799999909</v>
      </c>
      <c r="F47" s="114">
        <v>13.747931960000013</v>
      </c>
      <c r="G47" s="883"/>
      <c r="H47" s="884"/>
      <c r="I47" s="26"/>
      <c r="J47" s="26"/>
      <c r="K47" s="26"/>
      <c r="L47" s="45"/>
      <c r="M47" s="45"/>
      <c r="N47" s="45"/>
      <c r="O47" s="45"/>
      <c r="P47" s="45"/>
      <c r="Q47" s="45"/>
      <c r="R47" s="46"/>
      <c r="S47" s="46"/>
      <c r="T47" s="46"/>
      <c r="U47" s="46"/>
    </row>
    <row r="48" spans="3:21" s="44" customFormat="1" ht="4.5" customHeight="1">
      <c r="E48" s="114"/>
      <c r="F48" s="114"/>
      <c r="G48" s="884"/>
      <c r="H48" s="884"/>
      <c r="I48" s="26"/>
      <c r="J48" s="26"/>
      <c r="K48" s="26"/>
      <c r="L48" s="45"/>
      <c r="M48" s="45"/>
      <c r="N48" s="45"/>
      <c r="O48" s="45"/>
      <c r="P48" s="45"/>
      <c r="Q48" s="45"/>
      <c r="R48" s="46"/>
      <c r="S48" s="46"/>
      <c r="T48" s="46"/>
      <c r="U48" s="46"/>
    </row>
    <row r="49" spans="3:21" s="269" customFormat="1" ht="15" customHeight="1">
      <c r="C49" s="888" t="str">
        <f>IF(Indice_index!$Z$1=1,"Despesa efetiva","Effective Expenditure")</f>
        <v>Effective Expenditure</v>
      </c>
      <c r="D49" s="889">
        <f t="shared" ref="D49" si="27">+D28+D41</f>
        <v>74466.462910510032</v>
      </c>
      <c r="E49" s="889">
        <f t="shared" ref="E49:F49" si="28">+E28+E41</f>
        <v>26974.803420969976</v>
      </c>
      <c r="F49" s="889">
        <f t="shared" si="28"/>
        <v>27513.371477320008</v>
      </c>
      <c r="G49" s="891">
        <f>IFERROR((F49-E49)/E49*100,"")</f>
        <v>1.9965597077580695</v>
      </c>
      <c r="H49" s="891"/>
      <c r="I49" s="263"/>
      <c r="J49" s="263"/>
      <c r="K49" s="263"/>
      <c r="L49" s="270"/>
      <c r="M49" s="270"/>
      <c r="N49" s="270"/>
      <c r="O49" s="270"/>
      <c r="P49" s="270"/>
      <c r="Q49" s="270"/>
      <c r="R49" s="271"/>
      <c r="S49" s="271"/>
      <c r="T49" s="271"/>
      <c r="U49" s="271"/>
    </row>
    <row r="50" spans="3:21" ht="4.5" customHeight="1">
      <c r="E50" s="22"/>
      <c r="F50" s="22"/>
      <c r="G50" s="893"/>
      <c r="H50" s="893"/>
      <c r="I50" s="26"/>
      <c r="J50" s="26"/>
      <c r="K50" s="26"/>
      <c r="L50" s="45"/>
      <c r="M50" s="45"/>
      <c r="N50" s="45"/>
      <c r="O50" s="45"/>
      <c r="P50" s="45"/>
      <c r="Q50" s="45"/>
      <c r="R50" s="46"/>
      <c r="S50" s="46"/>
      <c r="T50" s="46"/>
      <c r="U50" s="46"/>
    </row>
    <row r="51" spans="3:21" s="267" customFormat="1" ht="15" customHeight="1">
      <c r="C51" s="888" t="str">
        <f>IF(Indice_index!$Z$1=1,"Saldo global","Overall balance")</f>
        <v>Overall balance</v>
      </c>
      <c r="D51" s="889">
        <f t="shared" ref="D51" si="29">+D26-D49</f>
        <v>-10622.719730020035</v>
      </c>
      <c r="E51" s="889">
        <f t="shared" ref="E51:F51" si="30">+E26-E49</f>
        <v>-5740.7479174599794</v>
      </c>
      <c r="F51" s="889">
        <f t="shared" si="30"/>
        <v>-2364.7746578200058</v>
      </c>
      <c r="G51" s="891"/>
      <c r="H51" s="891"/>
      <c r="I51" s="263"/>
      <c r="J51" s="263"/>
      <c r="K51" s="263"/>
      <c r="L51" s="270"/>
      <c r="M51" s="270"/>
      <c r="N51" s="270"/>
      <c r="O51" s="270"/>
      <c r="P51" s="270"/>
      <c r="Q51" s="270"/>
      <c r="R51" s="271"/>
      <c r="S51" s="271"/>
      <c r="T51" s="271"/>
      <c r="U51" s="271"/>
    </row>
    <row r="52" spans="3:21" ht="15" customHeight="1">
      <c r="C52" s="894" t="str">
        <f>IF(Indice_index!$Z$1=1,"   Por memória:","   Memo item:")</f>
        <v xml:space="preserve">   Memo item:</v>
      </c>
      <c r="D52" s="894"/>
      <c r="E52" s="22"/>
      <c r="F52" s="22"/>
      <c r="G52" s="893"/>
      <c r="H52" s="893"/>
      <c r="I52" s="26"/>
      <c r="J52" s="26"/>
      <c r="K52" s="26"/>
      <c r="L52" s="45"/>
      <c r="M52" s="45"/>
      <c r="N52" s="45"/>
      <c r="O52" s="45"/>
      <c r="P52" s="45"/>
      <c r="Q52" s="45"/>
      <c r="R52" s="46"/>
      <c r="S52" s="46"/>
      <c r="T52" s="46"/>
      <c r="U52" s="46"/>
    </row>
    <row r="53" spans="3:21" ht="15" customHeight="1">
      <c r="C53" s="885" t="str">
        <f>IF(Indice_index!$Z$1=1,"Despesa primária","Primary expenditure")</f>
        <v>Primary expenditure</v>
      </c>
      <c r="D53" s="114">
        <f t="shared" ref="D53" si="31">+D49-D34</f>
        <v>67669.780610580026</v>
      </c>
      <c r="E53" s="114">
        <f t="shared" ref="E53:F53" si="32">+E49-E34</f>
        <v>23665.807260829977</v>
      </c>
      <c r="F53" s="114">
        <f t="shared" si="32"/>
        <v>24654.790146200008</v>
      </c>
      <c r="G53" s="884">
        <f t="shared" ref="G53" si="33">IFERROR((F53-E53)/E53*100,"")</f>
        <v>4.178952674084047</v>
      </c>
      <c r="H53" s="884">
        <f t="shared" ref="H53" si="34">IFERROR((F53-E53)/$E$49*100,"")</f>
        <v>3.6663210105220054</v>
      </c>
      <c r="I53" s="26"/>
      <c r="J53" s="26"/>
      <c r="K53" s="26"/>
      <c r="L53" s="45"/>
      <c r="M53" s="45"/>
      <c r="N53" s="45"/>
      <c r="O53" s="45"/>
      <c r="P53" s="45"/>
      <c r="Q53" s="45"/>
      <c r="R53" s="46"/>
      <c r="S53" s="46"/>
      <c r="T53" s="46"/>
      <c r="U53" s="46"/>
    </row>
    <row r="54" spans="3:21" s="44" customFormat="1" ht="15" customHeight="1">
      <c r="C54" s="885" t="str">
        <f>IF(Indice_index!$Z$1=1,"Saldo corrente","Current balance")</f>
        <v>Current balance</v>
      </c>
      <c r="D54" s="114">
        <f t="shared" ref="D54" si="35">+D8-D28</f>
        <v>-6311.4677687500371</v>
      </c>
      <c r="E54" s="114">
        <f t="shared" ref="E54:F54" si="36">+E8-E28</f>
        <v>-4607.0017293999808</v>
      </c>
      <c r="F54" s="114">
        <f t="shared" si="36"/>
        <v>-1438.1726418100043</v>
      </c>
      <c r="G54" s="114"/>
      <c r="H54" s="114"/>
      <c r="I54" s="26"/>
      <c r="J54" s="26"/>
      <c r="K54" s="26"/>
      <c r="L54" s="45"/>
      <c r="M54" s="45"/>
      <c r="N54" s="45"/>
      <c r="O54" s="45"/>
      <c r="P54" s="45"/>
      <c r="Q54" s="45"/>
      <c r="R54" s="46"/>
      <c r="S54" s="46"/>
      <c r="T54" s="46"/>
      <c r="U54" s="46"/>
    </row>
    <row r="55" spans="3:21" s="44" customFormat="1" ht="15" customHeight="1">
      <c r="C55" s="885" t="str">
        <f>IF(Indice_index!$Z$1=1,"Saldo de capital","Capital balance")</f>
        <v>Capital balance</v>
      </c>
      <c r="D55" s="114">
        <f t="shared" ref="D55" si="37">+D18-D41</f>
        <v>-4311.2519612699962</v>
      </c>
      <c r="E55" s="114">
        <f t="shared" ref="E55:F55" si="38">+E18-E41</f>
        <v>-1133.7461880599999</v>
      </c>
      <c r="F55" s="114">
        <f t="shared" si="38"/>
        <v>-926.60201600999972</v>
      </c>
      <c r="G55" s="114"/>
      <c r="H55" s="114"/>
      <c r="I55" s="26"/>
      <c r="J55" s="26"/>
      <c r="K55" s="26"/>
      <c r="L55" s="45"/>
      <c r="M55" s="45"/>
      <c r="N55" s="45"/>
      <c r="O55" s="45"/>
      <c r="P55" s="45"/>
      <c r="Q55" s="45"/>
      <c r="R55" s="46"/>
      <c r="S55" s="46"/>
      <c r="T55" s="46"/>
      <c r="U55" s="46"/>
    </row>
    <row r="56" spans="3:21" ht="15" customHeight="1">
      <c r="C56" s="895" t="str">
        <f>IF(Indice_index!$Z$1=1,"Saldo primário","Primary balance")</f>
        <v>Primary balance</v>
      </c>
      <c r="D56" s="832">
        <f t="shared" ref="D56" si="39">+D51+D34</f>
        <v>-3826.0374300900357</v>
      </c>
      <c r="E56" s="832">
        <f t="shared" ref="E56:F56" si="40">+E51+E34</f>
        <v>-2431.7517573199802</v>
      </c>
      <c r="F56" s="832">
        <f t="shared" si="40"/>
        <v>493.80667329999415</v>
      </c>
      <c r="G56" s="832"/>
      <c r="H56" s="832"/>
      <c r="I56" s="26"/>
      <c r="J56" s="26"/>
      <c r="K56" s="26"/>
      <c r="L56" s="45"/>
      <c r="M56" s="45"/>
      <c r="N56" s="45"/>
      <c r="O56" s="45"/>
      <c r="P56" s="45"/>
      <c r="Q56" s="45"/>
      <c r="R56" s="46"/>
      <c r="S56" s="46"/>
      <c r="T56" s="46"/>
      <c r="U56" s="46"/>
    </row>
    <row r="57" spans="3:21" ht="4.5" customHeight="1">
      <c r="E57" s="42"/>
      <c r="F57" s="42"/>
      <c r="I57" s="24"/>
      <c r="J57" s="43"/>
      <c r="K57" s="45"/>
      <c r="L57" s="45"/>
      <c r="N57" s="45"/>
      <c r="O57" s="45"/>
      <c r="P57" s="45"/>
      <c r="Q57" s="45"/>
    </row>
    <row r="58" spans="3:21" ht="15" customHeight="1">
      <c r="C58" s="806" t="str">
        <f>IF(Indice_index!$Z$1=1,"Nota:","Note:")</f>
        <v>Note:</v>
      </c>
      <c r="D58" s="63"/>
      <c r="E58" s="53"/>
      <c r="F58" s="53"/>
      <c r="G58" s="53"/>
      <c r="H58" s="53"/>
      <c r="I58" s="24"/>
      <c r="J58" s="43"/>
      <c r="K58" s="45"/>
      <c r="L58" s="45"/>
      <c r="N58" s="45"/>
      <c r="O58" s="45"/>
      <c r="P58" s="45"/>
      <c r="Q58" s="45"/>
    </row>
    <row r="59" spans="3:21" s="22" customFormat="1" ht="12.75" customHeight="1">
      <c r="C59" s="1674" t="str">
        <f>+'5 - Conta AC + SS'!$C$64</f>
        <v>2021 cumulative execution is monthly reviewed and updated and therefore may differ from data published in 2021.</v>
      </c>
      <c r="D59" s="1674"/>
      <c r="E59" s="1674"/>
      <c r="F59" s="1674"/>
      <c r="G59" s="1674"/>
      <c r="H59" s="1674"/>
      <c r="N59" s="24"/>
      <c r="O59" s="24"/>
    </row>
    <row r="60" spans="3:21" ht="4.5" customHeight="1">
      <c r="E60" s="42"/>
      <c r="F60" s="42"/>
      <c r="I60" s="24"/>
      <c r="J60" s="43"/>
      <c r="K60" s="45"/>
      <c r="L60" s="45"/>
      <c r="N60" s="45"/>
      <c r="O60" s="45"/>
      <c r="P60" s="45"/>
      <c r="Q60" s="45"/>
    </row>
    <row r="61" spans="3:21" s="48" customFormat="1" ht="15" customHeight="1">
      <c r="C61" s="114" t="str">
        <f>IF(Indice_index!$Z$1=1,"Fonte: Direção-Geral do Orçamento","Source: Budget General Directorate")</f>
        <v>Source: Budget General Directorate</v>
      </c>
      <c r="D61" s="114"/>
      <c r="E61" s="896"/>
      <c r="F61" s="896"/>
      <c r="G61" s="897"/>
      <c r="J61" s="43"/>
      <c r="K61" s="45"/>
      <c r="L61" s="45"/>
    </row>
    <row r="62" spans="3:21" s="48" customFormat="1" ht="11.25" customHeight="1">
      <c r="E62" s="31"/>
      <c r="F62" s="31"/>
      <c r="J62" s="43"/>
      <c r="K62" s="45"/>
      <c r="L62" s="45"/>
    </row>
    <row r="63" spans="3:21" s="48" customFormat="1" ht="11.25" customHeight="1">
      <c r="C63" s="1678"/>
      <c r="D63" s="1678"/>
      <c r="E63" s="1678"/>
      <c r="F63" s="1678"/>
      <c r="G63" s="1678"/>
      <c r="H63" s="1678"/>
      <c r="J63" s="43"/>
      <c r="K63" s="45"/>
      <c r="L63" s="45"/>
    </row>
    <row r="64" spans="3:21" s="48" customFormat="1" ht="11.25" customHeight="1">
      <c r="E64" s="31"/>
      <c r="F64" s="31"/>
      <c r="G64" s="31"/>
      <c r="H64" s="31"/>
      <c r="J64" s="43"/>
      <c r="K64" s="45"/>
      <c r="L64" s="45"/>
    </row>
    <row r="65" spans="5:12" s="48" customFormat="1" ht="11.25" customHeight="1">
      <c r="E65" s="31"/>
      <c r="F65" s="31"/>
      <c r="G65" s="31"/>
      <c r="H65" s="31"/>
      <c r="K65" s="45"/>
      <c r="L65" s="45"/>
    </row>
    <row r="66" spans="5:12" s="48" customFormat="1" ht="11.25" customHeight="1">
      <c r="E66" s="31"/>
      <c r="F66" s="31"/>
      <c r="G66" s="31"/>
    </row>
    <row r="67" spans="5:12" s="48" customFormat="1" ht="11.25" customHeight="1">
      <c r="E67" s="31"/>
      <c r="F67" s="31"/>
      <c r="G67" s="31"/>
    </row>
    <row r="68" spans="5:12" s="48" customFormat="1" ht="11.25" customHeight="1">
      <c r="E68" s="31"/>
      <c r="F68" s="31"/>
      <c r="G68" s="31"/>
    </row>
    <row r="69" spans="5:12" s="48" customFormat="1" ht="11.25" customHeight="1">
      <c r="E69" s="31"/>
      <c r="F69" s="31"/>
      <c r="G69" s="31"/>
    </row>
    <row r="70" spans="5:12" s="48" customFormat="1" ht="11.25" customHeight="1">
      <c r="E70" s="31"/>
      <c r="F70" s="31"/>
      <c r="G70" s="31"/>
    </row>
    <row r="71" spans="5:12" s="48" customFormat="1" ht="11.25" customHeight="1">
      <c r="E71" s="31"/>
      <c r="F71" s="31"/>
      <c r="G71" s="31"/>
    </row>
    <row r="72" spans="5:12" s="48" customFormat="1" ht="11.25" customHeight="1">
      <c r="E72" s="31"/>
      <c r="F72" s="31"/>
      <c r="G72" s="31"/>
    </row>
    <row r="73" spans="5:12" s="48" customFormat="1" ht="11.25" customHeight="1">
      <c r="E73" s="31"/>
      <c r="F73" s="31"/>
      <c r="G73" s="31"/>
    </row>
    <row r="74" spans="5:12" s="48" customFormat="1" ht="11.25" customHeight="1"/>
    <row r="75" spans="5:12" s="48" customFormat="1" ht="11.25" customHeight="1"/>
    <row r="76" spans="5:12" s="48" customFormat="1" ht="11.25" customHeight="1"/>
    <row r="77" spans="5:12" s="48" customFormat="1" ht="11.25" customHeight="1"/>
    <row r="78" spans="5:12" s="48" customFormat="1" ht="11.25" customHeight="1"/>
    <row r="79" spans="5:12" s="48" customFormat="1" ht="11.25" customHeight="1"/>
    <row r="80" spans="5:12"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10"/>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7" s="48" customFormat="1"/>
    <row r="114" spans="1:17" s="48" customFormat="1"/>
    <row r="115" spans="1:17" s="48" customFormat="1" ht="11.25" customHeight="1"/>
    <row r="116" spans="1:17" s="48" customFormat="1"/>
    <row r="117" spans="1:17" s="48" customFormat="1"/>
    <row r="118" spans="1:17" s="48" customFormat="1"/>
    <row r="119" spans="1:17" s="48" customFormat="1">
      <c r="A119" s="42"/>
      <c r="B119" s="42"/>
      <c r="C119" s="42"/>
      <c r="D119" s="42"/>
      <c r="E119" s="42"/>
      <c r="F119" s="42"/>
      <c r="G119" s="42"/>
      <c r="H119" s="42"/>
      <c r="I119" s="42"/>
      <c r="K119" s="42"/>
      <c r="L119" s="42"/>
      <c r="M119" s="42"/>
      <c r="N119" s="42"/>
      <c r="O119" s="42"/>
      <c r="P119" s="42"/>
      <c r="Q119" s="42"/>
    </row>
    <row r="120" spans="1:17" s="48" customFormat="1">
      <c r="A120" s="42"/>
      <c r="B120" s="42"/>
      <c r="C120" s="42"/>
      <c r="D120" s="42"/>
      <c r="E120" s="42"/>
      <c r="F120" s="42"/>
      <c r="G120" s="42"/>
      <c r="H120" s="42"/>
      <c r="I120" s="42"/>
      <c r="J120" s="42"/>
      <c r="K120" s="42"/>
      <c r="L120" s="42"/>
      <c r="M120" s="42"/>
      <c r="N120" s="42"/>
      <c r="O120" s="42"/>
      <c r="P120" s="42"/>
      <c r="Q120" s="42"/>
    </row>
  </sheetData>
  <mergeCells count="4">
    <mergeCell ref="E5:F5"/>
    <mergeCell ref="G5:H5"/>
    <mergeCell ref="C63:H63"/>
    <mergeCell ref="C59:H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G10:H12 G14:H17 G19:H19 G21:H24 G30:H34 G36:H40 G42:H42 G44:H47 A59:B59 D59 D57:D58 A60:C97 D60:D121 H4 G59:H59 G60:H121 E59:F59 E48:H58 E60:F121 A1:H1 A7:H7 A4:G4 A122:XFD1048576 E18:H18 E41:H41 E13:H13 E20:H20 E25:H29 E35:H35 E43:H43 A8:C58 E8:H9 I1:XFD121 A3:H3 A2:C2 D2:H2 A99:C121 A98:B98 D8:D9 F5 G6 H5 D5:E5 H6 G5 D13 D18 D20 D25:D29 D35 D41 D43 D48:D56" unlockedFormula="1"/>
    <ignoredError sqref="D6 E6:F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5"/>
  <sheetViews>
    <sheetView showGridLines="0" zoomScaleNormal="100" zoomScaleSheetLayoutView="100" workbookViewId="0">
      <selection activeCell="B2" sqref="B2"/>
    </sheetView>
  </sheetViews>
  <sheetFormatPr defaultColWidth="9.140625" defaultRowHeight="11.25"/>
  <cols>
    <col min="1" max="1" width="2.42578125" style="53" customWidth="1"/>
    <col min="2" max="2" width="4.42578125" style="53" customWidth="1"/>
    <col min="3" max="3" width="37.140625" style="63" customWidth="1"/>
    <col min="4" max="4" width="9.42578125" style="63" customWidth="1"/>
    <col min="5" max="8" width="9.42578125" style="53" customWidth="1"/>
    <col min="9" max="12" width="8.5703125" style="53" customWidth="1"/>
    <col min="13" max="16384" width="9.140625" style="53"/>
  </cols>
  <sheetData>
    <row r="1" spans="2:13" s="50" customFormat="1" ht="15" customHeight="1">
      <c r="B1" s="49"/>
      <c r="C1" s="49"/>
      <c r="D1" s="49"/>
    </row>
    <row r="2" spans="2:13" ht="24" customHeight="1">
      <c r="B2" s="8"/>
      <c r="C2" s="51" t="str">
        <f>IF(Indice_index!$Z$1=1,"7 - Execução Orçamental do Estado","7 - State Budget Execution")</f>
        <v>7 - State Budget Execution</v>
      </c>
      <c r="D2" s="51"/>
      <c r="E2" s="51"/>
      <c r="F2" s="51"/>
      <c r="G2" s="51"/>
      <c r="H2" s="51"/>
    </row>
    <row r="3" spans="2:13" ht="15" customHeight="1">
      <c r="C3" s="54"/>
      <c r="D3" s="54"/>
    </row>
    <row r="4" spans="2:13" ht="15" customHeight="1">
      <c r="C4" s="53"/>
      <c r="D4" s="53"/>
    </row>
    <row r="5" spans="2:13" s="272" customFormat="1" ht="15" customHeight="1">
      <c r="C5" s="681" t="str">
        <f>+'5 - Conta AC + SS'!C5</f>
        <v>Period: January to May</v>
      </c>
      <c r="D5" s="681"/>
      <c r="E5" s="808"/>
      <c r="H5" s="809" t="str">
        <f>IF(Indice_index!$Z$1=1,"€ Milhões","€ Millions")</f>
        <v>€ Millions</v>
      </c>
    </row>
    <row r="6" spans="2:13" ht="33" customHeight="1">
      <c r="C6" s="810"/>
      <c r="D6" s="811" t="str">
        <f>IF(Indice_index!$Z$1=1,"CGE","Final execution")</f>
        <v>Final execution</v>
      </c>
      <c r="E6" s="1679" t="str">
        <f>IF(Indice_index!$Z$1=1,"Execução Acumulada","Accumulated Execution")</f>
        <v>Accumulated Execution</v>
      </c>
      <c r="F6" s="1679"/>
      <c r="G6" s="1676" t="str">
        <f>IF(Indice_index!$Z$1=1,"Variação Homóloga Acumulada","YOY Change Rate")</f>
        <v>YOY Change Rate</v>
      </c>
      <c r="H6" s="1677"/>
    </row>
    <row r="7" spans="2:13" ht="33.75" customHeight="1">
      <c r="C7" s="812"/>
      <c r="D7" s="813" t="s">
        <v>68</v>
      </c>
      <c r="E7" s="814" t="s">
        <v>68</v>
      </c>
      <c r="F7" s="814" t="s">
        <v>75</v>
      </c>
      <c r="G7" s="815" t="str">
        <f>IF(Indice_index!$Z$1=1,"Relativa (%)","Relative change (%)")</f>
        <v>Relative change (%)</v>
      </c>
      <c r="H7" s="816" t="str">
        <f>IF(Indice_index!$Z$1=1,"Contributo VHA (p.p.)","YOY Change Rate Contrib. (p.p.)")</f>
        <v>YOY Change Rate Contrib. (p.p.)</v>
      </c>
    </row>
    <row r="8" spans="2:13" ht="4.5" customHeight="1">
      <c r="C8" s="479"/>
      <c r="D8" s="479"/>
      <c r="E8" s="998"/>
      <c r="F8" s="998"/>
      <c r="G8" s="86"/>
      <c r="H8" s="86"/>
    </row>
    <row r="9" spans="2:13" s="272" customFormat="1" ht="15" customHeight="1">
      <c r="C9" s="681" t="str">
        <f>IF(Indice_index!$Z$1=1,"Receita corrente","Current revenue")</f>
        <v>Current revenue</v>
      </c>
      <c r="D9" s="898">
        <f>+D10+D13+D14+D15+D20+D21</f>
        <v>49989.363712130005</v>
      </c>
      <c r="E9" s="898">
        <f>+E10+E13+E14+E15+E20+E21</f>
        <v>16353.045621940004</v>
      </c>
      <c r="F9" s="898">
        <f>+F10+F13+F14+F15+F20+F21</f>
        <v>19478.008885629999</v>
      </c>
      <c r="G9" s="789">
        <f>IF(IFERROR((F9-E9)/E9*100,"")&gt;500,"-",IFERROR((F9-E9)/E9*100,""))</f>
        <v>19.109365533093111</v>
      </c>
      <c r="H9" s="789">
        <f t="shared" ref="H9:H20" si="0">IFERROR((F9-E9)/$E$32*100,"-")</f>
        <v>19.054967690868317</v>
      </c>
      <c r="I9" s="274"/>
      <c r="K9" s="275"/>
      <c r="L9" s="276"/>
      <c r="M9" s="276"/>
    </row>
    <row r="10" spans="2:13" ht="15" customHeight="1">
      <c r="C10" s="790" t="str">
        <f>IF(Indice_index!$Z$1=1,"Receita Fiscal","Tax")</f>
        <v>Tax</v>
      </c>
      <c r="D10" s="899">
        <f t="shared" ref="D10" si="1">SUM(D11:D12)</f>
        <v>45591.223834090008</v>
      </c>
      <c r="E10" s="899">
        <f t="shared" ref="E10" si="2">SUM(E11:E12)</f>
        <v>14503.085969010004</v>
      </c>
      <c r="F10" s="899">
        <f t="shared" ref="F10" si="3">SUM(F11:F12)</f>
        <v>17545.524144340001</v>
      </c>
      <c r="G10" s="999">
        <f t="shared" ref="G10:G20" si="4">IF(IFERROR((F10-E10)/E10*100,"")&gt;500,"-",IFERROR((F10-E10)/E10*100,""))</f>
        <v>20.977867619560673</v>
      </c>
      <c r="H10" s="999">
        <f t="shared" si="0"/>
        <v>18.551757649759232</v>
      </c>
      <c r="I10" s="57"/>
      <c r="K10" s="58"/>
      <c r="L10" s="59"/>
      <c r="M10" s="59"/>
    </row>
    <row r="11" spans="2:13" ht="15" customHeight="1">
      <c r="C11" s="787" t="str">
        <f>IF(Indice_index!$Z$1=1,"Impostos diretos","Direct taxes")</f>
        <v>Direct taxes</v>
      </c>
      <c r="D11" s="685">
        <f>+'8 - R_Est'!D10</f>
        <v>19956.94299525</v>
      </c>
      <c r="E11" s="685">
        <f>+'8 - R_Est'!E10</f>
        <v>4770.5620355700003</v>
      </c>
      <c r="F11" s="685">
        <f>+'8 - R_Est'!F10</f>
        <v>5722.7247265599999</v>
      </c>
      <c r="G11" s="788">
        <f t="shared" si="4"/>
        <v>19.959130263699265</v>
      </c>
      <c r="H11" s="788">
        <f t="shared" si="0"/>
        <v>5.8059656329657745</v>
      </c>
      <c r="I11" s="57"/>
      <c r="K11" s="58"/>
      <c r="L11" s="59"/>
      <c r="M11" s="59"/>
    </row>
    <row r="12" spans="2:13" ht="15" customHeight="1">
      <c r="C12" s="787" t="str">
        <f>IF(Indice_index!$Z$1=1,"Impostos indiretos","Indirect taxes")</f>
        <v>Indirect taxes</v>
      </c>
      <c r="D12" s="685">
        <f>+'8 - R_Est'!D14</f>
        <v>25634.280838840004</v>
      </c>
      <c r="E12" s="685">
        <f>+'8 - R_Est'!E14</f>
        <v>9732.523933440003</v>
      </c>
      <c r="F12" s="685">
        <f>+'8 - R_Est'!F14</f>
        <v>11822.799417779999</v>
      </c>
      <c r="G12" s="788">
        <f t="shared" si="4"/>
        <v>21.477219050630982</v>
      </c>
      <c r="H12" s="788">
        <f t="shared" si="0"/>
        <v>12.745792016793454</v>
      </c>
      <c r="I12" s="57"/>
      <c r="K12" s="58"/>
      <c r="L12" s="59"/>
      <c r="M12" s="59"/>
    </row>
    <row r="13" spans="2:13" ht="15" customHeight="1">
      <c r="C13" s="790" t="str">
        <f>IF(Indice_index!$Z$1=1,"Contribuições para Segurança Social, CGA e ADSE","Social security, CGA and ADSE contributions")</f>
        <v>Social security, CGA and ADSE contributions</v>
      </c>
      <c r="D13" s="685">
        <f>+'8 - R_Est'!D24</f>
        <v>66.578526589999996</v>
      </c>
      <c r="E13" s="685">
        <f>+'8 - R_Est'!E24</f>
        <v>23.09374373</v>
      </c>
      <c r="F13" s="685">
        <f>+'8 - R_Est'!F24</f>
        <v>25.86644793</v>
      </c>
      <c r="G13" s="788">
        <f t="shared" si="4"/>
        <v>12.006300201548136</v>
      </c>
      <c r="H13" s="788">
        <f t="shared" si="0"/>
        <v>1.6907011215532848E-2</v>
      </c>
      <c r="I13" s="57"/>
      <c r="K13" s="58"/>
      <c r="L13" s="59"/>
      <c r="M13" s="59"/>
    </row>
    <row r="14" spans="2:13" ht="15" customHeight="1">
      <c r="C14" s="790" t="str">
        <f>IF(Indice_index!$Z$1=1,"Taxas, Multas e Outras Penalidades","Taxes, fines and other penalties")</f>
        <v>Taxes, fines and other penalties</v>
      </c>
      <c r="D14" s="685">
        <f>+'8 - R_Est'!D30</f>
        <v>857.09185406000006</v>
      </c>
      <c r="E14" s="685">
        <f>+'8 - R_Est'!E30</f>
        <v>301.83455371000002</v>
      </c>
      <c r="F14" s="685">
        <f>+'8 - R_Est'!F30</f>
        <v>401.39820534</v>
      </c>
      <c r="G14" s="788">
        <f t="shared" si="4"/>
        <v>32.986167556435525</v>
      </c>
      <c r="H14" s="788">
        <f t="shared" si="0"/>
        <v>0.60710542969849257</v>
      </c>
      <c r="I14" s="57"/>
      <c r="K14" s="58"/>
      <c r="L14" s="59"/>
      <c r="M14" s="59"/>
    </row>
    <row r="15" spans="2:13" ht="15" customHeight="1">
      <c r="C15" s="790" t="str">
        <f>IF(Indice_index!$Z$1=1,"Transferências Correntes","Current transfers")</f>
        <v>Current transfers</v>
      </c>
      <c r="D15" s="685">
        <f>SUM(D16:D19)</f>
        <v>1214.3733370100001</v>
      </c>
      <c r="E15" s="685">
        <f>SUM(E16:E19)</f>
        <v>523.88160105999998</v>
      </c>
      <c r="F15" s="685">
        <f>SUM(F16:F19)</f>
        <v>420.61059769999997</v>
      </c>
      <c r="G15" s="788">
        <f t="shared" si="4"/>
        <v>-19.712660866700759</v>
      </c>
      <c r="H15" s="788">
        <f t="shared" si="0"/>
        <v>-0.62971160502690871</v>
      </c>
      <c r="I15" s="57"/>
      <c r="K15" s="58"/>
      <c r="L15" s="59"/>
      <c r="M15" s="59"/>
    </row>
    <row r="16" spans="2:13" ht="15" customHeight="1">
      <c r="C16" s="787" t="str">
        <f>IF(Indice_index!$Z$1=1,"Administração Central","Central Administration")</f>
        <v>Central Administration</v>
      </c>
      <c r="D16" s="685">
        <f>+'8 - R_Est'!D40</f>
        <v>528.42067895000002</v>
      </c>
      <c r="E16" s="685">
        <f>+'8 - R_Est'!E40</f>
        <v>206.63034205</v>
      </c>
      <c r="F16" s="685">
        <f>+'8 - R_Est'!F40</f>
        <v>176.95584355</v>
      </c>
      <c r="G16" s="999">
        <f t="shared" si="4"/>
        <v>-14.361152483994545</v>
      </c>
      <c r="H16" s="999">
        <f t="shared" si="0"/>
        <v>-0.18094504237228504</v>
      </c>
      <c r="I16" s="57"/>
      <c r="K16" s="58"/>
      <c r="L16" s="59"/>
      <c r="M16" s="59"/>
    </row>
    <row r="17" spans="3:13" ht="15" customHeight="1">
      <c r="C17" s="1000" t="str">
        <f>IF(Indice_index!$Z$1=1,"Outros subsectores das AP","Other General Government subsectors")</f>
        <v>Other General Government subsectors</v>
      </c>
      <c r="D17" s="685">
        <f>+'8 - R_Est'!D41</f>
        <v>215.78015270999998</v>
      </c>
      <c r="E17" s="685">
        <f>+'8 - R_Est'!E41</f>
        <v>78.896954960000002</v>
      </c>
      <c r="F17" s="685">
        <f>+'8 - R_Est'!F41</f>
        <v>111.44166935999999</v>
      </c>
      <c r="G17" s="999">
        <f t="shared" si="4"/>
        <v>41.249645713829949</v>
      </c>
      <c r="H17" s="999">
        <f t="shared" si="0"/>
        <v>0.19844664691138467</v>
      </c>
      <c r="I17" s="57"/>
      <c r="K17" s="58"/>
      <c r="L17" s="59"/>
      <c r="M17" s="59"/>
    </row>
    <row r="18" spans="3:13" ht="15" customHeight="1">
      <c r="C18" s="787" t="str">
        <f>IF(Indice_index!$Z$1=1,"União Europeia","European Union")</f>
        <v>European Union</v>
      </c>
      <c r="D18" s="685">
        <f>+'8 - R_Est'!D42</f>
        <v>456.44551322000001</v>
      </c>
      <c r="E18" s="685">
        <f>+'8 - R_Est'!E42</f>
        <v>230.99847746</v>
      </c>
      <c r="F18" s="685">
        <f>+'8 - R_Est'!F42</f>
        <v>123.18365315999999</v>
      </c>
      <c r="G18" s="999">
        <f t="shared" si="4"/>
        <v>-46.673391740718017</v>
      </c>
      <c r="H18" s="999">
        <f t="shared" si="0"/>
        <v>-0.65741828632163646</v>
      </c>
      <c r="I18" s="57"/>
      <c r="K18" s="58"/>
      <c r="L18" s="59"/>
      <c r="M18" s="59"/>
    </row>
    <row r="19" spans="3:13" ht="15" customHeight="1">
      <c r="C19" s="1000" t="str">
        <f>IF(Indice_index!$Z$1=1,"Outras transferências","Other transfers")</f>
        <v>Other transfers</v>
      </c>
      <c r="D19" s="685">
        <f>+'8 - R_Est'!D43</f>
        <v>13.726992130000001</v>
      </c>
      <c r="E19" s="685">
        <f>+'8 - R_Est'!E43</f>
        <v>7.3558265900000004</v>
      </c>
      <c r="F19" s="685">
        <f>+'8 - R_Est'!F43</f>
        <v>9.0294316299999995</v>
      </c>
      <c r="G19" s="999">
        <f t="shared" si="4"/>
        <v>22.752100250367636</v>
      </c>
      <c r="H19" s="999">
        <f t="shared" si="0"/>
        <v>1.0205076755628057E-2</v>
      </c>
      <c r="I19" s="57"/>
      <c r="K19" s="58"/>
      <c r="L19" s="59"/>
      <c r="M19" s="59"/>
    </row>
    <row r="20" spans="3:13" ht="15" customHeight="1">
      <c r="C20" s="790" t="str">
        <f>IF(Indice_index!$Z$1=1,"Outras Receitas Correntes","Other current revenue")</f>
        <v>Other current revenue</v>
      </c>
      <c r="D20" s="685">
        <f>'8 - R_Est'!D35+'8 - R_Est'!D44+'8 - R_Est'!D45+'8 - R_Est'!D49+'8 - R_Est'!D50</f>
        <v>2260.0917186399997</v>
      </c>
      <c r="E20" s="685">
        <f>'8 - R_Est'!E35+'8 - R_Est'!E44+'8 - R_Est'!E45+'8 - R_Est'!E49+'8 - R_Est'!E50</f>
        <v>1001.1494651400001</v>
      </c>
      <c r="F20" s="685">
        <f>'8 - R_Est'!F35+'8 - R_Est'!F44+'8 - R_Est'!F45+'8 - R_Est'!F49+'8 - R_Est'!F50</f>
        <v>1084.60733129</v>
      </c>
      <c r="G20" s="788">
        <f t="shared" si="4"/>
        <v>8.3362044385979139</v>
      </c>
      <c r="H20" s="788">
        <f t="shared" si="0"/>
        <v>0.50889780418065833</v>
      </c>
      <c r="I20" s="57"/>
      <c r="K20" s="58"/>
      <c r="L20" s="59"/>
      <c r="M20" s="59"/>
    </row>
    <row r="21" spans="3:13" ht="15" customHeight="1">
      <c r="C21" s="791" t="str">
        <f>IF(Indice_index!$Z$1=1,"Diferenças de consolidação","Consolidation differences")</f>
        <v>Consolidation differences</v>
      </c>
      <c r="D21" s="685">
        <f>+'8 - R_Est'!D51</f>
        <v>4.4417399999999996E-3</v>
      </c>
      <c r="E21" s="685">
        <f>+'8 - R_Est'!E51</f>
        <v>2.8928999999999999E-4</v>
      </c>
      <c r="F21" s="685">
        <f>+'8 - R_Est'!F51</f>
        <v>2.1590300000000002E-3</v>
      </c>
      <c r="G21" s="788"/>
      <c r="H21" s="788"/>
      <c r="I21" s="57"/>
      <c r="K21" s="58"/>
      <c r="L21" s="59"/>
      <c r="M21" s="59"/>
    </row>
    <row r="22" spans="3:13" s="272" customFormat="1" ht="15" customHeight="1">
      <c r="C22" s="681" t="str">
        <f>IF(Indice_index!$Z$1=1,"Receita de capital","Capital revenue")</f>
        <v>Capital revenue</v>
      </c>
      <c r="D22" s="898">
        <f t="shared" ref="D22" si="5">D23+D24+D29+D30</f>
        <v>84.767693959999988</v>
      </c>
      <c r="E22" s="898">
        <f t="shared" ref="E22" si="6">E23+E24+E29+E30</f>
        <v>46.68443474</v>
      </c>
      <c r="F22" s="898">
        <f t="shared" ref="F22" si="7">F23+F24+F29+F30</f>
        <v>265.91828429999998</v>
      </c>
      <c r="G22" s="789">
        <f t="shared" ref="G22:G29" si="8">IF(IFERROR((F22-E22)/E22*100,"")&gt;500,"-",IFERROR((F22-E22)/E22*100,""))</f>
        <v>469.60801984854442</v>
      </c>
      <c r="H22" s="789">
        <f t="shared" ref="H22:H29" si="9">IFERROR((F22-E22)/$E$32*100,"-")</f>
        <v>1.336813769508973</v>
      </c>
      <c r="I22" s="274"/>
      <c r="K22" s="275"/>
      <c r="L22" s="276"/>
      <c r="M22" s="276"/>
    </row>
    <row r="23" spans="3:13" ht="15" customHeight="1">
      <c r="C23" s="790" t="str">
        <f>IF(Indice_index!$Z$1=1,"Venda de bens de investimento","Sale of investment goods")</f>
        <v>Sale of investment goods</v>
      </c>
      <c r="D23" s="90">
        <f>+'8 - R_Est'!D53</f>
        <v>36.8988175</v>
      </c>
      <c r="E23" s="90">
        <f>+'8 - R_Est'!E53</f>
        <v>30.393525539999999</v>
      </c>
      <c r="F23" s="90">
        <f>+'8 - R_Est'!F53</f>
        <v>30.883166469999999</v>
      </c>
      <c r="G23" s="1001">
        <f t="shared" si="8"/>
        <v>1.6110040585966199</v>
      </c>
      <c r="H23" s="1002">
        <f t="shared" si="9"/>
        <v>2.9856645707443076E-3</v>
      </c>
      <c r="I23" s="57"/>
      <c r="K23" s="58"/>
      <c r="L23" s="59"/>
      <c r="M23" s="59"/>
    </row>
    <row r="24" spans="3:13" ht="15" customHeight="1">
      <c r="C24" s="790" t="str">
        <f>IF(Indice_index!$Z$1=1,"Transferências de capital","Capital transfers")</f>
        <v>Capital transfers</v>
      </c>
      <c r="D24" s="685">
        <f t="shared" ref="D24" si="10">SUM(D25:D28)</f>
        <v>45.685864639999998</v>
      </c>
      <c r="E24" s="685">
        <f t="shared" ref="E24" si="11">SUM(E25:E28)</f>
        <v>13.57528394</v>
      </c>
      <c r="F24" s="685">
        <f t="shared" ref="F24" si="12">SUM(F25:F28)</f>
        <v>226.19789230999999</v>
      </c>
      <c r="G24" s="788" t="str">
        <f t="shared" si="8"/>
        <v>-</v>
      </c>
      <c r="H24" s="788">
        <f t="shared" si="9"/>
        <v>1.2965006596763688</v>
      </c>
      <c r="I24" s="57"/>
      <c r="K24" s="58"/>
      <c r="L24" s="59"/>
      <c r="M24" s="59"/>
    </row>
    <row r="25" spans="3:13" ht="15" customHeight="1">
      <c r="C25" s="787" t="str">
        <f>IF(Indice_index!$Z$1=1,"Administração Central","Central Administration")</f>
        <v>Central Administration</v>
      </c>
      <c r="D25" s="685">
        <f>+'8 - R_Est'!D55</f>
        <v>17.407786689999998</v>
      </c>
      <c r="E25" s="685">
        <f>+'8 - R_Est'!E55</f>
        <v>5.2418978799999998</v>
      </c>
      <c r="F25" s="685">
        <f>+'8 - R_Est'!F55</f>
        <v>6.4350891100000007</v>
      </c>
      <c r="G25" s="788">
        <f t="shared" si="8"/>
        <v>22.762580601818229</v>
      </c>
      <c r="H25" s="788">
        <f t="shared" si="9"/>
        <v>7.2756760378137166E-3</v>
      </c>
      <c r="I25" s="57"/>
      <c r="K25" s="58"/>
      <c r="L25" s="59"/>
      <c r="M25" s="59"/>
    </row>
    <row r="26" spans="3:13" ht="15" customHeight="1">
      <c r="C26" s="787" t="str">
        <f>IF(Indice_index!$Z$1=1,"Outros subsectores das AP","Other General Government subsectors")</f>
        <v>Other General Government subsectors</v>
      </c>
      <c r="D26" s="685">
        <f>+'8 - R_Est'!D56</f>
        <v>3.0124069999999999E-2</v>
      </c>
      <c r="E26" s="685">
        <f>+'8 - R_Est'!E56</f>
        <v>0</v>
      </c>
      <c r="F26" s="685">
        <f>+'8 - R_Est'!F56</f>
        <v>1.867427E-2</v>
      </c>
      <c r="G26" s="788" t="str">
        <f t="shared" si="8"/>
        <v>-</v>
      </c>
      <c r="H26" s="788">
        <f t="shared" si="9"/>
        <v>1.138693742851793E-4</v>
      </c>
      <c r="I26" s="57"/>
      <c r="K26" s="58"/>
      <c r="L26" s="59"/>
      <c r="M26" s="59"/>
    </row>
    <row r="27" spans="3:13" ht="15" customHeight="1">
      <c r="C27" s="787" t="str">
        <f>IF(Indice_index!$Z$1=1,"União Europeia","European Union")</f>
        <v>European Union</v>
      </c>
      <c r="D27" s="685">
        <f>+'8 - R_Est'!D57</f>
        <v>18.856822619999999</v>
      </c>
      <c r="E27" s="685">
        <f>+'8 - R_Est'!E57</f>
        <v>6.7952878999999999</v>
      </c>
      <c r="F27" s="685">
        <f>+'8 - R_Est'!F57</f>
        <v>217.73320034</v>
      </c>
      <c r="G27" s="788" t="str">
        <f t="shared" si="8"/>
        <v>-</v>
      </c>
      <c r="H27" s="788">
        <f t="shared" si="9"/>
        <v>1.2862279544295299</v>
      </c>
      <c r="I27" s="57"/>
      <c r="K27" s="58"/>
      <c r="L27" s="59"/>
      <c r="M27" s="59"/>
    </row>
    <row r="28" spans="3:13" ht="15" customHeight="1">
      <c r="C28" s="787" t="str">
        <f>IF(Indice_index!$Z$1=1,"Outras transferências","Other transfers")</f>
        <v>Other transfers</v>
      </c>
      <c r="D28" s="685">
        <f>+'8 - R_Est'!D58</f>
        <v>9.3911312599999999</v>
      </c>
      <c r="E28" s="685">
        <f>+'8 - R_Est'!E58</f>
        <v>1.5380981599999999</v>
      </c>
      <c r="F28" s="685">
        <f>+'8 - R_Est'!F58</f>
        <v>2.0109285900000002</v>
      </c>
      <c r="G28" s="788">
        <f t="shared" si="8"/>
        <v>30.741238907665057</v>
      </c>
      <c r="H28" s="788">
        <f t="shared" si="9"/>
        <v>2.8831598347401162E-3</v>
      </c>
      <c r="I28" s="57"/>
      <c r="K28" s="58"/>
      <c r="L28" s="59"/>
      <c r="M28" s="59"/>
    </row>
    <row r="29" spans="3:13" ht="15" customHeight="1">
      <c r="C29" s="790" t="str">
        <f>IF(Indice_index!$Z$1=1,"Outras Receitas de Capital","Other capital revenue")</f>
        <v>Other capital revenue</v>
      </c>
      <c r="D29" s="685">
        <f>+'8 - R_Est'!D59</f>
        <v>1.50296685</v>
      </c>
      <c r="E29" s="685">
        <f>+'8 - R_Est'!E59</f>
        <v>1.79048593</v>
      </c>
      <c r="F29" s="685">
        <f>+'8 - R_Est'!F59</f>
        <v>8.6293334399999999</v>
      </c>
      <c r="G29" s="1002">
        <f t="shared" si="8"/>
        <v>381.95483111112748</v>
      </c>
      <c r="H29" s="1002">
        <f t="shared" si="9"/>
        <v>4.1700976091459341E-2</v>
      </c>
      <c r="I29" s="57"/>
      <c r="K29" s="58"/>
      <c r="L29" s="59"/>
      <c r="M29" s="59"/>
    </row>
    <row r="30" spans="3:13" ht="15" customHeight="1">
      <c r="C30" s="791" t="str">
        <f>IF(Indice_index!$Z$1=1,"Diferenças de consolidação","Consolidation differences")</f>
        <v>Consolidation differences</v>
      </c>
      <c r="D30" s="685">
        <f>+'8 - R_Est'!D60</f>
        <v>0.68004496999999731</v>
      </c>
      <c r="E30" s="685">
        <f>+'8 - R_Est'!E60</f>
        <v>0.92513933000000037</v>
      </c>
      <c r="F30" s="685">
        <f>+'8 - R_Est'!F60</f>
        <v>0.20789208000000001</v>
      </c>
      <c r="G30" s="788"/>
      <c r="H30" s="685"/>
      <c r="I30" s="57"/>
      <c r="K30" s="58"/>
      <c r="L30" s="59"/>
      <c r="M30" s="59"/>
    </row>
    <row r="31" spans="3:13" ht="4.5" customHeight="1">
      <c r="C31" s="787"/>
      <c r="D31" s="788"/>
      <c r="E31" s="788"/>
      <c r="F31" s="788"/>
      <c r="G31" s="788"/>
      <c r="H31" s="788"/>
      <c r="I31" s="57"/>
      <c r="K31" s="58"/>
      <c r="L31" s="59"/>
      <c r="M31" s="59"/>
    </row>
    <row r="32" spans="3:13" s="272" customFormat="1" ht="15" customHeight="1">
      <c r="C32" s="794" t="str">
        <f>IF(Indice_index!$Z$1=1,"Receita efetiva","Effective revenue")</f>
        <v>Effective revenue</v>
      </c>
      <c r="D32" s="796">
        <f>+D9+D22</f>
        <v>50074.131406090004</v>
      </c>
      <c r="E32" s="796">
        <f>+E9+E22</f>
        <v>16399.730056680004</v>
      </c>
      <c r="F32" s="796">
        <f>+F9+F22</f>
        <v>19743.927169930001</v>
      </c>
      <c r="G32" s="796">
        <f>IFERROR((F32-E32)/E32*100,"-")</f>
        <v>20.391781460377299</v>
      </c>
      <c r="H32" s="796"/>
      <c r="I32" s="274"/>
      <c r="K32" s="275"/>
      <c r="L32" s="276"/>
      <c r="M32" s="276"/>
    </row>
    <row r="33" spans="3:10" ht="4.5" customHeight="1">
      <c r="C33" s="787"/>
      <c r="D33" s="685"/>
      <c r="E33" s="685"/>
      <c r="F33" s="685"/>
      <c r="G33" s="788"/>
      <c r="H33" s="788"/>
      <c r="I33" s="57"/>
    </row>
    <row r="34" spans="3:10" s="272" customFormat="1" ht="15" customHeight="1">
      <c r="C34" s="681" t="str">
        <f>IF(Indice_index!$Z$1=1,"Despesa corrente","Current Expenditure")</f>
        <v>Current Expenditure</v>
      </c>
      <c r="D34" s="789">
        <f>+D35+D39+D40+D41+D46+D47+D48</f>
        <v>56311.346025609979</v>
      </c>
      <c r="E34" s="789">
        <f>+E35+E39+E40+E41+E46+E47+E48</f>
        <v>22013.494293020005</v>
      </c>
      <c r="F34" s="789">
        <f>+F35+F39+F40+F41+F46+F47+F48</f>
        <v>21997.326872920006</v>
      </c>
      <c r="G34" s="789">
        <f t="shared" ref="G34:G47" si="13">IF(IFERROR((F34-E34)/E34*100,"")&gt;500,"-",IFERROR((F34-E34)/E34*100,""))</f>
        <v>-7.34432248001856E-2</v>
      </c>
      <c r="H34" s="789">
        <f t="shared" ref="H34:H46" si="14">IFERROR((F34-E34)/$E$59*100,"-")</f>
        <v>-7.0992537572961548E-2</v>
      </c>
      <c r="I34" s="274"/>
    </row>
    <row r="35" spans="3:10" ht="15" customHeight="1">
      <c r="C35" s="790" t="str">
        <f>IF(Indice_index!$Z$1=1,"Despesas com o pessoal","Employees")</f>
        <v>Employees</v>
      </c>
      <c r="D35" s="685">
        <f t="shared" ref="D35" si="15">SUM(D36:D38)</f>
        <v>10187.270213329986</v>
      </c>
      <c r="E35" s="685">
        <f>SUM(E36:E38)</f>
        <v>3731.8766517300032</v>
      </c>
      <c r="F35" s="685">
        <f t="shared" ref="F35" si="16">SUM(F36:F38)</f>
        <v>3725.3848043200078</v>
      </c>
      <c r="G35" s="788">
        <f t="shared" si="13"/>
        <v>-0.17395664476171763</v>
      </c>
      <c r="H35" s="788">
        <f t="shared" si="14"/>
        <v>-2.8506262490950639E-2</v>
      </c>
      <c r="I35" s="57"/>
      <c r="J35" s="57"/>
    </row>
    <row r="36" spans="3:10" ht="15" customHeight="1">
      <c r="C36" s="787" t="str">
        <f>IF(Indice_index!$Z$1=1,"Remunerações Certas e Permanentes","Certain and permanent wages")</f>
        <v>Certain and permanent wages</v>
      </c>
      <c r="D36" s="685">
        <v>7352.8066867299895</v>
      </c>
      <c r="E36" s="685">
        <v>2651.9679766200043</v>
      </c>
      <c r="F36" s="685">
        <v>2672.9460264300083</v>
      </c>
      <c r="G36" s="788">
        <f t="shared" si="13"/>
        <v>0.79103707114672683</v>
      </c>
      <c r="H36" s="788">
        <f t="shared" si="14"/>
        <v>9.2116427984962557E-2</v>
      </c>
      <c r="I36" s="57"/>
      <c r="J36" s="57"/>
    </row>
    <row r="37" spans="3:10" ht="15" customHeight="1">
      <c r="C37" s="787" t="str">
        <f>IF(Indice_index!$Z$1=1,"Abonos Variáveis ou Eventuais","Variable or contingent bonuses")</f>
        <v>Variable or contingent bonuses</v>
      </c>
      <c r="D37" s="685">
        <v>386.88280049999992</v>
      </c>
      <c r="E37" s="685">
        <v>142.07474294999977</v>
      </c>
      <c r="F37" s="685">
        <v>148.97971050000001</v>
      </c>
      <c r="G37" s="788">
        <f t="shared" si="13"/>
        <v>4.8600950504132143</v>
      </c>
      <c r="H37" s="788">
        <f t="shared" si="14"/>
        <v>3.0320308694985365E-2</v>
      </c>
      <c r="I37" s="57"/>
      <c r="J37" s="57"/>
    </row>
    <row r="38" spans="3:10" ht="15" customHeight="1">
      <c r="C38" s="787" t="str">
        <f>IF(Indice_index!$Z$1=1,"Segurança social","Social security")</f>
        <v>Social security</v>
      </c>
      <c r="D38" s="685">
        <v>2447.5807260999964</v>
      </c>
      <c r="E38" s="685">
        <v>937.83393215999934</v>
      </c>
      <c r="F38" s="685">
        <v>903.45906738999918</v>
      </c>
      <c r="G38" s="788">
        <f t="shared" si="13"/>
        <v>-3.6653466665285501</v>
      </c>
      <c r="H38" s="788">
        <f t="shared" si="14"/>
        <v>-0.15094299917090068</v>
      </c>
      <c r="I38" s="57"/>
      <c r="J38" s="57"/>
    </row>
    <row r="39" spans="3:10" ht="15" customHeight="1">
      <c r="C39" s="790" t="str">
        <f>IF(Indice_index!$Z$1=1,"Aquisição de bens e serviços","Purchase of goods and services")</f>
        <v>Purchase of goods and services</v>
      </c>
      <c r="D39" s="685">
        <v>1801.2157903399941</v>
      </c>
      <c r="E39" s="685">
        <v>394.64690830000018</v>
      </c>
      <c r="F39" s="685">
        <v>490.81513387999917</v>
      </c>
      <c r="G39" s="788">
        <f t="shared" si="13"/>
        <v>24.368169003086283</v>
      </c>
      <c r="H39" s="788">
        <f t="shared" si="14"/>
        <v>0.42228298179829349</v>
      </c>
      <c r="I39" s="57"/>
      <c r="J39" s="57"/>
    </row>
    <row r="40" spans="3:10" ht="15" customHeight="1">
      <c r="C40" s="790" t="str">
        <f>IF(Indice_index!$Z$1=1,"Juros e outros encargos","Interests")</f>
        <v>Interests</v>
      </c>
      <c r="D40" s="685">
        <v>6382.38636107</v>
      </c>
      <c r="E40" s="685">
        <v>3250.2903329699993</v>
      </c>
      <c r="F40" s="685">
        <v>2801.3790475800001</v>
      </c>
      <c r="G40" s="788">
        <f t="shared" si="13"/>
        <v>-13.811421116334554</v>
      </c>
      <c r="H40" s="788">
        <f t="shared" si="14"/>
        <v>-1.9712082136703137</v>
      </c>
      <c r="I40" s="57"/>
      <c r="J40" s="57"/>
    </row>
    <row r="41" spans="3:10" ht="15" customHeight="1">
      <c r="C41" s="790" t="str">
        <f>IF(Indice_index!$Z$1=1,"Transferências correntes","Current transfers")</f>
        <v>Current transfers</v>
      </c>
      <c r="D41" s="685">
        <f t="shared" ref="D41" si="17">SUM(D42:D45)</f>
        <v>37389.805939689992</v>
      </c>
      <c r="E41" s="685">
        <f>SUM(E42:E45)</f>
        <v>14456.501923060001</v>
      </c>
      <c r="F41" s="685">
        <f t="shared" ref="F41" si="18">SUM(F42:F45)</f>
        <v>14683.271160939999</v>
      </c>
      <c r="G41" s="788">
        <f t="shared" si="13"/>
        <v>1.5686314648377835</v>
      </c>
      <c r="H41" s="788">
        <f t="shared" si="14"/>
        <v>0.99576330305098748</v>
      </c>
      <c r="I41" s="57"/>
      <c r="J41" s="57"/>
    </row>
    <row r="42" spans="3:10" ht="15" customHeight="1">
      <c r="C42" s="787" t="str">
        <f>IF(Indice_index!$Z$1=1,"Administração Central","Central Administration")</f>
        <v>Central Administration</v>
      </c>
      <c r="D42" s="685">
        <v>19715.334131929994</v>
      </c>
      <c r="E42" s="685">
        <v>7648.0943678600006</v>
      </c>
      <c r="F42" s="685">
        <v>7656.7995408299994</v>
      </c>
      <c r="G42" s="788">
        <f t="shared" si="13"/>
        <v>0.11382146390061559</v>
      </c>
      <c r="H42" s="788">
        <f t="shared" si="14"/>
        <v>3.8225166126030045E-2</v>
      </c>
      <c r="I42" s="57"/>
      <c r="J42" s="58"/>
    </row>
    <row r="43" spans="3:10" ht="15" customHeight="1">
      <c r="C43" s="787" t="str">
        <f>IF(Indice_index!$Z$1=1,"Outros subsectores das Administrações Públicas","Other General Government subsectors")</f>
        <v>Other General Government subsectors</v>
      </c>
      <c r="D43" s="685">
        <v>14400.708377000003</v>
      </c>
      <c r="E43" s="685">
        <v>5461.2854156600024</v>
      </c>
      <c r="F43" s="685">
        <v>5639.0491092900002</v>
      </c>
      <c r="G43" s="788">
        <f t="shared" si="13"/>
        <v>3.2549790040320539</v>
      </c>
      <c r="H43" s="788">
        <f t="shared" si="14"/>
        <v>0.78057572705351108</v>
      </c>
      <c r="I43" s="57"/>
      <c r="J43" s="60"/>
    </row>
    <row r="44" spans="3:10" ht="15" customHeight="1">
      <c r="C44" s="787" t="str">
        <f>IF(Indice_index!$Z$1=1,"União Europeia","European Union")</f>
        <v>European Union</v>
      </c>
      <c r="D44" s="685">
        <v>2699.4576824699993</v>
      </c>
      <c r="E44" s="685">
        <v>1110.61143868</v>
      </c>
      <c r="F44" s="685">
        <v>1123.5140733900002</v>
      </c>
      <c r="G44" s="788">
        <f t="shared" si="13"/>
        <v>1.1617595732073029</v>
      </c>
      <c r="H44" s="788">
        <f t="shared" si="14"/>
        <v>5.6656583040108177E-2</v>
      </c>
      <c r="I44" s="57"/>
    </row>
    <row r="45" spans="3:10" ht="15" customHeight="1">
      <c r="C45" s="787" t="str">
        <f>IF(Indice_index!$Z$1=1,"Outras transferências","Other transfers")</f>
        <v>Other transfers</v>
      </c>
      <c r="D45" s="685">
        <v>574.30574829000034</v>
      </c>
      <c r="E45" s="685">
        <v>236.51070085999936</v>
      </c>
      <c r="F45" s="685">
        <v>263.90843742999959</v>
      </c>
      <c r="G45" s="788">
        <f t="shared" si="13"/>
        <v>11.58414248081659</v>
      </c>
      <c r="H45" s="788">
        <f t="shared" si="14"/>
        <v>0.1203058268313322</v>
      </c>
      <c r="I45" s="57"/>
    </row>
    <row r="46" spans="3:10" ht="15" customHeight="1">
      <c r="C46" s="790" t="str">
        <f>IF(Indice_index!$Z$1=1,"Subsídios","Subsidies")</f>
        <v>Subsidies</v>
      </c>
      <c r="D46" s="685">
        <v>145.60353275000003</v>
      </c>
      <c r="E46" s="685">
        <v>9.8775904500000014</v>
      </c>
      <c r="F46" s="685">
        <v>121.04106964999998</v>
      </c>
      <c r="G46" s="788" t="str">
        <f t="shared" si="13"/>
        <v>-</v>
      </c>
      <c r="H46" s="788">
        <f t="shared" si="14"/>
        <v>0.488128435151367</v>
      </c>
      <c r="I46" s="57"/>
      <c r="J46" s="57"/>
    </row>
    <row r="47" spans="3:10" ht="15" customHeight="1">
      <c r="C47" s="790" t="str">
        <f>IF(Indice_index!$Z$1=1,"Outras despesas correntes","Other current expenditure")</f>
        <v>Other current expenditure</v>
      </c>
      <c r="D47" s="685">
        <v>403.26112954999985</v>
      </c>
      <c r="E47" s="685">
        <v>152.93799302000005</v>
      </c>
      <c r="F47" s="685">
        <v>173.52198443000006</v>
      </c>
      <c r="G47" s="788">
        <f t="shared" si="13"/>
        <v>13.459043762466658</v>
      </c>
      <c r="H47" s="788">
        <f>IFERROR((F47-E47)/$E$59*100,"-")</f>
        <v>9.0386083527084202E-2</v>
      </c>
      <c r="I47" s="57"/>
      <c r="J47" s="57"/>
    </row>
    <row r="48" spans="3:10" ht="15" customHeight="1">
      <c r="C48" s="791" t="str">
        <f>IF(Indice_index!$Z$1=1,"Diferenças de consolidação","Consolidation differences")</f>
        <v>Consolidation differences</v>
      </c>
      <c r="D48" s="685">
        <v>1.8030588800002478</v>
      </c>
      <c r="E48" s="685">
        <v>17.362893489999976</v>
      </c>
      <c r="F48" s="685">
        <v>1.9136721199999442</v>
      </c>
      <c r="G48" s="788"/>
      <c r="H48" s="788"/>
      <c r="I48" s="57"/>
      <c r="J48" s="57"/>
    </row>
    <row r="49" spans="3:10" s="272" customFormat="1" ht="15" customHeight="1">
      <c r="C49" s="681" t="str">
        <f>IF(Indice_index!$Z$1=1,"Despesa de capital","Capital expenditure")</f>
        <v>Capital expenditure</v>
      </c>
      <c r="D49" s="789">
        <f>+D50+D51+D56+D57</f>
        <v>3234.1108962199992</v>
      </c>
      <c r="E49" s="789">
        <f>+E50+E51+E56+E57</f>
        <v>759.91352239000003</v>
      </c>
      <c r="F49" s="789">
        <f>+F50+F51+F56+F57</f>
        <v>894.09472863999986</v>
      </c>
      <c r="G49" s="789">
        <f t="shared" ref="G49:G56" si="19">IF(IFERROR((F49-E49)/E49*100,"")&gt;500,"-",IFERROR((F49-E49)/E49*100,""))</f>
        <v>17.657431049257713</v>
      </c>
      <c r="H49" s="789">
        <f t="shared" ref="H49:H56" si="20">IFERROR((F49-E49)/$E$59*100,"-")</f>
        <v>0.58920126200525802</v>
      </c>
      <c r="I49" s="274"/>
    </row>
    <row r="50" spans="3:10" ht="15" customHeight="1">
      <c r="C50" s="790" t="str">
        <f>IF(Indice_index!$Z$1=1,"Investimento","Investment")</f>
        <v>Investment</v>
      </c>
      <c r="D50" s="685">
        <v>680.48988800999905</v>
      </c>
      <c r="E50" s="685">
        <v>121.92183413999994</v>
      </c>
      <c r="F50" s="685">
        <v>246.1082447699998</v>
      </c>
      <c r="G50" s="687">
        <f t="shared" si="19"/>
        <v>101.85740028106824</v>
      </c>
      <c r="H50" s="788">
        <f t="shared" si="20"/>
        <v>0.54531325147555232</v>
      </c>
      <c r="I50" s="57"/>
      <c r="J50" s="57"/>
    </row>
    <row r="51" spans="3:10" ht="15" customHeight="1">
      <c r="C51" s="790" t="str">
        <f>IF(Indice_index!$Z$1=1,"Transferências de capital","Capital transfers")</f>
        <v>Capital transfers</v>
      </c>
      <c r="D51" s="685">
        <f t="shared" ref="D51" si="21">SUM(D52:D55)</f>
        <v>2519.64963008</v>
      </c>
      <c r="E51" s="685">
        <f>SUM(E52:E55)</f>
        <v>633.33364047999999</v>
      </c>
      <c r="F51" s="685">
        <f t="shared" ref="F51" si="22">SUM(F52:F55)</f>
        <v>645.27119403000006</v>
      </c>
      <c r="G51" s="788">
        <f t="shared" si="19"/>
        <v>1.8848759622104823</v>
      </c>
      <c r="H51" s="788">
        <f t="shared" si="20"/>
        <v>5.2418828340316866E-2</v>
      </c>
      <c r="I51" s="57"/>
      <c r="J51" s="57"/>
    </row>
    <row r="52" spans="3:10" ht="15" customHeight="1">
      <c r="C52" s="787" t="str">
        <f>IF(Indice_index!$Z$1=1,"Administração Central","Central Administration")</f>
        <v>Central Administration</v>
      </c>
      <c r="D52" s="685">
        <v>1891.6418273099998</v>
      </c>
      <c r="E52" s="685">
        <v>362.62750315</v>
      </c>
      <c r="F52" s="685">
        <v>381.62004203000004</v>
      </c>
      <c r="G52" s="788">
        <f t="shared" si="19"/>
        <v>5.2374788770899769</v>
      </c>
      <c r="H52" s="788">
        <f t="shared" si="20"/>
        <v>8.3397878059990743E-2</v>
      </c>
      <c r="I52" s="57"/>
    </row>
    <row r="53" spans="3:10" ht="15" customHeight="1">
      <c r="C53" s="787" t="str">
        <f>IF(Indice_index!$Z$1=1,"Outros subsectores das Administrações Públicas","Other General Government subsectors")</f>
        <v>Other General Government subsectors</v>
      </c>
      <c r="D53" s="685">
        <v>564.64759928000012</v>
      </c>
      <c r="E53" s="685">
        <v>243.87336087</v>
      </c>
      <c r="F53" s="685">
        <v>242.91106914</v>
      </c>
      <c r="G53" s="788">
        <f t="shared" si="19"/>
        <v>-0.39458665209152</v>
      </c>
      <c r="H53" s="788">
        <f t="shared" si="20"/>
        <v>-4.2255060718179088E-3</v>
      </c>
      <c r="I53" s="57"/>
    </row>
    <row r="54" spans="3:10" ht="15" customHeight="1">
      <c r="C54" s="787" t="str">
        <f>IF(Indice_index!$Z$1=1,"União Europeia","European Union")</f>
        <v>European Union</v>
      </c>
      <c r="D54" s="685">
        <v>2.1391460000000002</v>
      </c>
      <c r="E54" s="685">
        <v>0</v>
      </c>
      <c r="F54" s="685">
        <v>0</v>
      </c>
      <c r="G54" s="788" t="str">
        <f t="shared" si="19"/>
        <v>-</v>
      </c>
      <c r="H54" s="788">
        <f t="shared" si="20"/>
        <v>0</v>
      </c>
      <c r="I54" s="57"/>
    </row>
    <row r="55" spans="3:10" ht="15" customHeight="1">
      <c r="C55" s="787" t="str">
        <f>IF(Indice_index!$Z$1=1,"Outras transferências","Other transfers")</f>
        <v>Other transfers</v>
      </c>
      <c r="D55" s="685">
        <v>61.221057490000007</v>
      </c>
      <c r="E55" s="685">
        <v>26.832776459999998</v>
      </c>
      <c r="F55" s="685">
        <v>20.740082859999998</v>
      </c>
      <c r="G55" s="788">
        <f t="shared" si="19"/>
        <v>-22.706161656742697</v>
      </c>
      <c r="H55" s="788">
        <f t="shared" si="20"/>
        <v>-2.6753543647856152E-2</v>
      </c>
      <c r="I55" s="57"/>
    </row>
    <row r="56" spans="3:10" ht="15" customHeight="1">
      <c r="C56" s="790" t="str">
        <f>IF(Indice_index!$Z$1=1,"Outras despesas de capital","Other capital expenditure")</f>
        <v>Other capital expenditure</v>
      </c>
      <c r="D56" s="685">
        <v>33.971378130000005</v>
      </c>
      <c r="E56" s="685">
        <v>4.6580477699999996</v>
      </c>
      <c r="F56" s="685">
        <v>2.7152898400000001</v>
      </c>
      <c r="G56" s="687">
        <f t="shared" si="19"/>
        <v>-41.707557026621039</v>
      </c>
      <c r="H56" s="788">
        <f t="shared" si="20"/>
        <v>-8.5308178106106719E-3</v>
      </c>
      <c r="I56" s="57"/>
    </row>
    <row r="57" spans="3:10" ht="15" customHeight="1">
      <c r="C57" s="791" t="str">
        <f>IF(Indice_index!$Z$1=1,"Diferenças de consolidação","Consolidation differences")</f>
        <v>Consolidation differences</v>
      </c>
      <c r="D57" s="685">
        <v>0</v>
      </c>
      <c r="E57" s="685">
        <v>0</v>
      </c>
      <c r="F57" s="685">
        <v>0</v>
      </c>
      <c r="G57" s="788"/>
      <c r="H57" s="788"/>
      <c r="I57" s="57"/>
      <c r="J57" s="57"/>
    </row>
    <row r="58" spans="3:10" ht="4.5" customHeight="1">
      <c r="C58" s="790"/>
      <c r="D58" s="792"/>
      <c r="E58" s="792"/>
      <c r="F58" s="792"/>
      <c r="G58" s="793"/>
      <c r="H58" s="793"/>
      <c r="I58" s="57"/>
    </row>
    <row r="59" spans="3:10" s="272" customFormat="1" ht="15" customHeight="1">
      <c r="C59" s="794" t="str">
        <f>IF(Indice_index!$Z$1=1,"Despesa efetiva","Effective Expenditure")</f>
        <v>Effective Expenditure</v>
      </c>
      <c r="D59" s="795">
        <f>+D34+D49</f>
        <v>59545.45692182998</v>
      </c>
      <c r="E59" s="795">
        <f>+E34+E49</f>
        <v>22773.407815410006</v>
      </c>
      <c r="F59" s="795">
        <f>+F34+F49</f>
        <v>22891.421601560007</v>
      </c>
      <c r="G59" s="796">
        <f>IFERROR((F59-E59)/E59*100,"-")</f>
        <v>0.5182087244322946</v>
      </c>
      <c r="H59" s="796"/>
      <c r="I59" s="274"/>
      <c r="J59" s="274"/>
    </row>
    <row r="60" spans="3:10" ht="4.5" customHeight="1">
      <c r="C60" s="797"/>
      <c r="D60" s="685"/>
      <c r="E60" s="685"/>
      <c r="F60" s="685"/>
      <c r="G60" s="685"/>
      <c r="H60" s="685"/>
      <c r="I60" s="57"/>
    </row>
    <row r="61" spans="3:10" s="272" customFormat="1" ht="15" customHeight="1">
      <c r="C61" s="794" t="str">
        <f>IF(Indice_index!$Z$1=1,"Saldo global","Overall Balance")</f>
        <v>Overall Balance</v>
      </c>
      <c r="D61" s="796">
        <f>+D32-D59</f>
        <v>-9471.3255157399763</v>
      </c>
      <c r="E61" s="796">
        <f>+E32-E59</f>
        <v>-6373.6777587300021</v>
      </c>
      <c r="F61" s="796">
        <f>+F32-F59</f>
        <v>-3147.4944316300061</v>
      </c>
      <c r="G61" s="796"/>
      <c r="H61" s="796"/>
      <c r="I61" s="274"/>
    </row>
    <row r="62" spans="3:10" ht="4.5" customHeight="1">
      <c r="C62" s="798"/>
      <c r="D62" s="798"/>
      <c r="E62" s="685"/>
      <c r="G62" s="685"/>
      <c r="H62" s="685"/>
      <c r="I62" s="57"/>
    </row>
    <row r="63" spans="3:10" ht="15" customHeight="1">
      <c r="C63" s="790" t="str">
        <f>IF(Indice_index!$Z$1=1,"Despesa  primária","Primary Expenditure")</f>
        <v>Primary Expenditure</v>
      </c>
      <c r="D63" s="685">
        <f>+D59-D40</f>
        <v>53163.070560759981</v>
      </c>
      <c r="E63" s="685">
        <f>+E59-E40</f>
        <v>19523.117482440008</v>
      </c>
      <c r="F63" s="685">
        <f>+F59-F40</f>
        <v>20090.042553980005</v>
      </c>
      <c r="G63" s="788">
        <f t="shared" ref="G63" si="23">IF(IFERROR((F63-E63)/E63*100,"")&gt;500,"-",IFERROR((F63-E63)/E63*100,""))</f>
        <v>2.9038654920246021</v>
      </c>
      <c r="H63" s="685"/>
      <c r="I63" s="61"/>
    </row>
    <row r="64" spans="3:10" ht="15" customHeight="1">
      <c r="C64" s="799" t="str">
        <f>IF(Indice_index!$Z$1=1,"Saldo corrente","Current balance")</f>
        <v>Current balance</v>
      </c>
      <c r="D64" s="685">
        <f>+D9-D34</f>
        <v>-6321.9823134799735</v>
      </c>
      <c r="E64" s="685">
        <f>+E9-E34</f>
        <v>-5660.4486710800011</v>
      </c>
      <c r="F64" s="685">
        <f>+F9-F34</f>
        <v>-2519.3179872900073</v>
      </c>
      <c r="G64" s="788"/>
      <c r="H64" s="685"/>
      <c r="I64" s="57"/>
    </row>
    <row r="65" spans="3:17" ht="15" customHeight="1">
      <c r="C65" s="800" t="str">
        <f>IF(Indice_index!$Z$1=1,"Saldo de capital","Capital balance")</f>
        <v>Capital balance</v>
      </c>
      <c r="D65" s="686">
        <f>+D22-D49</f>
        <v>-3149.3432022599991</v>
      </c>
      <c r="E65" s="686">
        <f>+E22-E49</f>
        <v>-713.22908765</v>
      </c>
      <c r="F65" s="686">
        <f>+F22-F49</f>
        <v>-628.17644433999988</v>
      </c>
      <c r="G65" s="788"/>
      <c r="H65" s="686"/>
      <c r="I65" s="57"/>
    </row>
    <row r="66" spans="3:17" ht="15" customHeight="1">
      <c r="C66" s="799" t="str">
        <f>IF(Indice_index!$Z$1=1,"Saldo primário","Primary balance")</f>
        <v>Primary balance</v>
      </c>
      <c r="D66" s="685">
        <f>+D61+D40</f>
        <v>-3088.9391546699762</v>
      </c>
      <c r="E66" s="685">
        <f>+E61+E40</f>
        <v>-3123.3874257600028</v>
      </c>
      <c r="F66" s="685">
        <f>+F61+F40</f>
        <v>-346.11538405000601</v>
      </c>
      <c r="G66" s="788"/>
      <c r="H66" s="685"/>
      <c r="I66" s="57"/>
    </row>
    <row r="67" spans="3:17" ht="4.5" customHeight="1">
      <c r="C67" s="136"/>
      <c r="D67" s="686"/>
      <c r="E67" s="686"/>
      <c r="F67" s="686"/>
      <c r="G67" s="686"/>
      <c r="H67" s="686"/>
      <c r="I67" s="57"/>
    </row>
    <row r="68" spans="3:17" ht="15" customHeight="1">
      <c r="C68" s="136" t="str">
        <f>IF(Indice_index!$Z$1=1,"Ativos financeiros líquidos de reembolsos","Financial assets net of reimbursements")</f>
        <v>Financial assets net of reimbursements</v>
      </c>
      <c r="D68" s="685">
        <f>4944.98849095-D71-D70</f>
        <v>4301.2560277199991</v>
      </c>
      <c r="E68" s="685">
        <f>1332.19136382-E71-E70</f>
        <v>1244.46641705</v>
      </c>
      <c r="F68" s="685">
        <f>875.40521541-F71-F70</f>
        <v>729.13440358000003</v>
      </c>
      <c r="G68" s="685"/>
      <c r="H68" s="685"/>
      <c r="I68" s="57"/>
    </row>
    <row r="69" spans="3:17" ht="15" customHeight="1">
      <c r="C69" s="801" t="str">
        <f>IF(Indice_index!$Z$1=1,"dos quais Receitas de:","of which revenue from:")</f>
        <v>of which revenue from:</v>
      </c>
      <c r="D69" s="685"/>
      <c r="E69" s="686"/>
      <c r="F69" s="685"/>
      <c r="G69" s="685"/>
      <c r="H69" s="685"/>
      <c r="I69" s="57"/>
    </row>
    <row r="70" spans="3:17" ht="15" customHeight="1">
      <c r="C70" s="802" t="str">
        <f>IF(Indice_index!$Z$1=1,"Alienação de partes de Capital","Disposal of Capital Shares")</f>
        <v>Disposal of Capital Shares</v>
      </c>
      <c r="D70" s="686">
        <f>+'8 - R_Est'!D65</f>
        <v>1.3794E-4</v>
      </c>
      <c r="E70" s="686">
        <f>+'8 - R_Est'!E65</f>
        <v>0</v>
      </c>
      <c r="F70" s="686">
        <f>+'8 - R_Est'!F65</f>
        <v>0</v>
      </c>
      <c r="G70" s="788" t="str">
        <f t="shared" ref="G70:G71" si="24">IF(IFERROR((F70-E70)/E70*100,"")&gt;500,"-",IFERROR((F70-E70)/E70*100,""))</f>
        <v>-</v>
      </c>
      <c r="H70" s="685"/>
      <c r="I70" s="57"/>
    </row>
    <row r="71" spans="3:17" ht="15" customHeight="1">
      <c r="C71" s="803" t="str">
        <f>IF(Indice_index!$Z$1=1,"Outros Ativos","Other Assets")</f>
        <v>Other Assets</v>
      </c>
      <c r="D71" s="686">
        <f>+'8 - R_Est'!D66</f>
        <v>643.73232529000006</v>
      </c>
      <c r="E71" s="686">
        <f>+'8 - R_Est'!E66</f>
        <v>87.724946770000003</v>
      </c>
      <c r="F71" s="686">
        <f>+'8 - R_Est'!F66</f>
        <v>146.27081183000001</v>
      </c>
      <c r="G71" s="687">
        <f t="shared" si="24"/>
        <v>66.737988697214462</v>
      </c>
      <c r="H71" s="686"/>
      <c r="I71" s="57"/>
    </row>
    <row r="72" spans="3:17" ht="15" customHeight="1">
      <c r="C72" s="804" t="str">
        <f>IF(Indice_index!$Z$1=1,"Passivos financeiros líquidos de amortizações","Financial liabilities net of amortizations")</f>
        <v>Financial liabilities net of amortizations</v>
      </c>
      <c r="D72" s="805">
        <f>+'8 - R_Est'!D67-49865.83276538</f>
        <v>13779.601644429997</v>
      </c>
      <c r="E72" s="805">
        <f>+'8 - R_Est'!E67-25592.986935</f>
        <v>5445.515767429999</v>
      </c>
      <c r="F72" s="805">
        <f>+'8 - R_Est'!F67-27043.515178</f>
        <v>-548.89841427000283</v>
      </c>
      <c r="G72" s="805"/>
      <c r="H72" s="805"/>
      <c r="I72" s="57"/>
    </row>
    <row r="73" spans="3:17" ht="4.5" customHeight="1">
      <c r="I73" s="57"/>
    </row>
    <row r="74" spans="3:17" ht="15" customHeight="1">
      <c r="C74" s="806" t="str">
        <f>IF(Indice_index!$Z$1=1,"Nota:","Note:")</f>
        <v>Note:</v>
      </c>
      <c r="I74" s="57"/>
    </row>
    <row r="75" spans="3:17" s="22" customFormat="1" ht="12.75" customHeight="1">
      <c r="C75" s="1674" t="str">
        <f>+'5 - Conta AC + SS'!$C$64</f>
        <v>2021 cumulative execution is monthly reviewed and updated and therefore may differ from data published in 2021.</v>
      </c>
      <c r="D75" s="1674"/>
      <c r="E75" s="1674"/>
      <c r="F75" s="1674"/>
      <c r="G75" s="1674"/>
      <c r="H75" s="1674"/>
      <c r="I75" s="63"/>
      <c r="P75" s="24"/>
      <c r="Q75" s="24"/>
    </row>
    <row r="76" spans="3:17" s="22" customFormat="1" ht="45.75" customHeight="1">
      <c r="C76" s="1680" t="str">
        <f>IF(Indice_index!$Z$1=1,C86,C87)</f>
        <v>Due to technical reasons, the budget implementation data regarding the Army and Air Force for May 2021, was not fully transposed from the local to the central budget information systems. The required information was later sent by the aforementioned entities.</v>
      </c>
      <c r="D76" s="1680"/>
      <c r="E76" s="1680"/>
      <c r="F76" s="1680"/>
      <c r="G76" s="1680"/>
      <c r="H76" s="1680"/>
      <c r="I76" s="63"/>
      <c r="P76" s="24"/>
      <c r="Q76" s="24"/>
    </row>
    <row r="77" spans="3:17" s="22" customFormat="1" ht="4.5" customHeight="1">
      <c r="C77" s="807"/>
      <c r="D77" s="807"/>
      <c r="E77" s="807"/>
      <c r="F77" s="807"/>
      <c r="G77" s="807"/>
      <c r="H77" s="807"/>
      <c r="I77" s="63"/>
      <c r="P77" s="24"/>
      <c r="Q77" s="24"/>
    </row>
    <row r="78" spans="3:17" ht="15" customHeight="1">
      <c r="C78" s="136" t="str">
        <f>IF(Indice_index!$Z$1=1,"Fonte: Direção-Geral do Orçamento","Source: Budget General Directorate")</f>
        <v>Source: Budget General Directorate</v>
      </c>
      <c r="D78" s="136"/>
      <c r="E78" s="530"/>
    </row>
    <row r="79" spans="3:17">
      <c r="E79" s="530"/>
      <c r="F79" s="58"/>
    </row>
    <row r="80" spans="3:17" s="386" customFormat="1" ht="11.25" customHeight="1">
      <c r="C80" s="531"/>
      <c r="D80" s="531"/>
      <c r="E80" s="381"/>
      <c r="F80" s="381"/>
    </row>
    <row r="81" spans="2:6" s="102" customFormat="1">
      <c r="C81" s="106"/>
      <c r="D81" s="106"/>
      <c r="F81" s="381"/>
    </row>
    <row r="82" spans="2:6" s="102" customFormat="1">
      <c r="C82" s="106"/>
      <c r="D82" s="106"/>
      <c r="F82" s="381"/>
    </row>
    <row r="83" spans="2:6" s="102" customFormat="1">
      <c r="C83" s="106"/>
      <c r="D83" s="106"/>
      <c r="F83" s="381"/>
    </row>
    <row r="84" spans="2:6" s="102" customFormat="1">
      <c r="C84" s="106"/>
      <c r="D84" s="106"/>
      <c r="F84" s="381"/>
    </row>
    <row r="85" spans="2:6" s="102" customFormat="1">
      <c r="C85" s="106"/>
      <c r="D85" s="106"/>
      <c r="F85" s="381"/>
    </row>
    <row r="86" spans="2:6" s="102" customFormat="1">
      <c r="C86" s="363" t="s">
        <v>592</v>
      </c>
      <c r="D86" s="106"/>
      <c r="F86" s="381"/>
    </row>
    <row r="87" spans="2:6" s="102" customFormat="1">
      <c r="C87" s="363" t="s">
        <v>593</v>
      </c>
      <c r="D87" s="106"/>
      <c r="F87" s="381"/>
    </row>
    <row r="88" spans="2:6" s="102" customFormat="1">
      <c r="C88" s="363" t="s">
        <v>96</v>
      </c>
      <c r="D88" s="106"/>
      <c r="E88" s="381"/>
      <c r="F88" s="381"/>
    </row>
    <row r="89" spans="2:6" s="102" customFormat="1">
      <c r="C89" s="363"/>
      <c r="D89" s="106"/>
      <c r="F89" s="381"/>
    </row>
    <row r="90" spans="2:6" s="102" customFormat="1">
      <c r="C90" s="106"/>
      <c r="D90" s="106"/>
      <c r="F90" s="381"/>
    </row>
    <row r="91" spans="2:6" s="102" customFormat="1">
      <c r="C91" s="106"/>
      <c r="D91" s="106"/>
      <c r="F91" s="381"/>
    </row>
    <row r="92" spans="2:6" s="102" customFormat="1">
      <c r="C92" s="106"/>
      <c r="D92" s="106"/>
      <c r="F92" s="381"/>
    </row>
    <row r="93" spans="2:6" s="102" customFormat="1">
      <c r="C93" s="106"/>
      <c r="D93" s="106"/>
      <c r="F93" s="381"/>
    </row>
    <row r="94" spans="2:6" s="102" customFormat="1">
      <c r="C94" s="106"/>
      <c r="D94" s="106"/>
      <c r="F94" s="381"/>
    </row>
    <row r="95" spans="2:6" s="106" customFormat="1">
      <c r="B95" s="102"/>
      <c r="E95" s="102"/>
      <c r="F95" s="381"/>
    </row>
    <row r="96" spans="2:6" s="106" customFormat="1">
      <c r="B96" s="102"/>
      <c r="C96" s="475"/>
      <c r="E96" s="102"/>
      <c r="F96" s="381"/>
    </row>
    <row r="97" spans="3:6" s="102" customFormat="1">
      <c r="C97" s="106"/>
      <c r="D97" s="106"/>
      <c r="F97" s="381"/>
    </row>
    <row r="98" spans="3:6">
      <c r="F98" s="58"/>
    </row>
    <row r="99" spans="3:6">
      <c r="F99" s="58"/>
    </row>
    <row r="100" spans="3:6">
      <c r="F100" s="58"/>
    </row>
    <row r="101" spans="3:6">
      <c r="F101" s="58"/>
    </row>
    <row r="102" spans="3:6">
      <c r="F102" s="58"/>
    </row>
    <row r="103" spans="3:6">
      <c r="F103" s="58"/>
    </row>
    <row r="104" spans="3:6">
      <c r="F104" s="58"/>
    </row>
    <row r="105" spans="3:6">
      <c r="F105" s="58"/>
    </row>
  </sheetData>
  <mergeCells count="4">
    <mergeCell ref="E6:F6"/>
    <mergeCell ref="G6:H6"/>
    <mergeCell ref="C75:H75"/>
    <mergeCell ref="C76:H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H5 G6:G7 H6:H7 D6" unlockedFormula="1"/>
    <ignoredError sqref="E49:F49 E35:F35 E41:F41 E51:F51 D35 D41 D49 D51" formulaRange="1"/>
    <ignoredError sqref="D7" numberStoredAsText="1" unlockedFormula="1"/>
    <ignoredError sqref="E7:F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N96"/>
  <sheetViews>
    <sheetView showGridLines="0" zoomScaleNormal="100" zoomScaleSheetLayoutView="100" workbookViewId="0">
      <selection activeCell="B2" sqref="B2"/>
    </sheetView>
  </sheetViews>
  <sheetFormatPr defaultColWidth="9.140625" defaultRowHeight="11.25"/>
  <cols>
    <col min="1" max="1" width="3" style="64" customWidth="1"/>
    <col min="2" max="2" width="4.42578125" style="64" customWidth="1"/>
    <col min="3" max="3" width="43.42578125" style="64" customWidth="1"/>
    <col min="4" max="8" width="9.42578125" style="64" customWidth="1"/>
    <col min="9" max="9" width="8.5703125" style="64" customWidth="1"/>
    <col min="10" max="10" width="13.85546875" style="64" customWidth="1"/>
    <col min="11" max="16384" width="9.140625" style="64"/>
  </cols>
  <sheetData>
    <row r="1" spans="2:14" s="50" customFormat="1" ht="15" customHeight="1">
      <c r="B1" s="49"/>
      <c r="C1" s="49"/>
      <c r="D1" s="49"/>
    </row>
    <row r="2" spans="2:14" ht="24" customHeight="1">
      <c r="B2" s="8"/>
      <c r="C2" s="51" t="str">
        <f>IF(Indice_index!$Z$1=1,"8 - Receita do Estado","8 - State Revenue")</f>
        <v>8 - State Revenue</v>
      </c>
      <c r="D2" s="51"/>
      <c r="E2" s="51"/>
      <c r="F2" s="51"/>
      <c r="G2" s="51"/>
      <c r="H2" s="51"/>
      <c r="I2" s="52"/>
    </row>
    <row r="3" spans="2:14" ht="15" customHeight="1">
      <c r="C3" s="65"/>
      <c r="D3" s="65"/>
      <c r="E3" s="65"/>
      <c r="F3" s="65"/>
      <c r="G3" s="65"/>
    </row>
    <row r="4" spans="2:14" ht="15" customHeight="1">
      <c r="C4" s="66"/>
      <c r="D4" s="66"/>
      <c r="E4" s="65"/>
      <c r="F4" s="65"/>
      <c r="G4" s="65"/>
    </row>
    <row r="5" spans="2:14" s="278" customFormat="1" ht="15" customHeight="1">
      <c r="C5" s="681" t="str">
        <f>+'5 - Conta AC + SS'!C5</f>
        <v>Period: January to May</v>
      </c>
      <c r="D5" s="681"/>
      <c r="E5" s="808"/>
      <c r="F5" s="272"/>
      <c r="G5" s="272"/>
      <c r="H5" s="910" t="str">
        <f>IF(Indice_index!$Z$1=1,"€ Milhões","€ Millions")</f>
        <v>€ Millions</v>
      </c>
      <c r="I5" s="273"/>
    </row>
    <row r="6" spans="2:14" ht="33" customHeight="1">
      <c r="C6" s="810"/>
      <c r="D6" s="811" t="str">
        <f>IF(Indice_index!$Z$1=1,"CGE","Final execution")</f>
        <v>Final execution</v>
      </c>
      <c r="E6" s="1681" t="str">
        <f>IF(Indice_index!$Z$1=1,"Execução Acumulada","Accumulated Execution")</f>
        <v>Accumulated Execution</v>
      </c>
      <c r="F6" s="1682" t="str">
        <f>IF(Indice_index!$Z$1=1,"Execução","Execution")</f>
        <v>Execution</v>
      </c>
      <c r="G6" s="1676" t="str">
        <f>IF(Indice_index!$Z$1=1,"Variação Homóloga Acumulada","YOY Change Rate")</f>
        <v>YOY Change Rate</v>
      </c>
      <c r="H6" s="1677"/>
      <c r="I6" s="55"/>
    </row>
    <row r="7" spans="2:14" ht="31.5" customHeight="1">
      <c r="C7" s="911"/>
      <c r="D7" s="813" t="s">
        <v>68</v>
      </c>
      <c r="E7" s="814" t="s">
        <v>68</v>
      </c>
      <c r="F7" s="814" t="s">
        <v>75</v>
      </c>
      <c r="G7" s="815" t="str">
        <f>IF(Indice_index!$Z$1=1,"Relativa (%)","Relative change (%)")</f>
        <v>Relative change (%)</v>
      </c>
      <c r="H7" s="816" t="str">
        <f>IF(Indice_index!$Z$1=1,"Contributo VHA  (p.p.)","YOY Change Rate Contrib. (p.p.)")</f>
        <v>YOY Change Rate Contrib. (p.p.)</v>
      </c>
      <c r="I7" s="55"/>
    </row>
    <row r="8" spans="2:14" ht="4.5" customHeight="1">
      <c r="C8" s="67"/>
      <c r="D8" s="67"/>
      <c r="E8" s="908"/>
      <c r="F8" s="908"/>
      <c r="G8" s="908"/>
      <c r="H8" s="67"/>
      <c r="I8" s="67"/>
    </row>
    <row r="9" spans="2:14" s="278" customFormat="1" ht="15" customHeight="1">
      <c r="C9" s="912" t="str">
        <f>IF(Indice_index!$Z$1=1,"Receita fiscal","Tax revenue")</f>
        <v>Tax revenue</v>
      </c>
      <c r="D9" s="279">
        <f>SUM(D10,D14)</f>
        <v>45591.223834090008</v>
      </c>
      <c r="E9" s="279">
        <f>SUM(E10,E14)</f>
        <v>14503.085969010004</v>
      </c>
      <c r="F9" s="279">
        <f>SUM(F10,F14)</f>
        <v>17545.524144340001</v>
      </c>
      <c r="G9" s="279">
        <f t="shared" ref="G9:G22" si="0">IF(IFERROR((F9-E9)/E9*100,"")&gt;500,"-",IFERROR((F9-E9)/E9*100,""))</f>
        <v>20.977867619560673</v>
      </c>
      <c r="H9" s="279">
        <f t="shared" ref="H9:H22" si="1">IFERROR((F9-E9)/$E$62*100,"-")</f>
        <v>18.551757649759232</v>
      </c>
      <c r="I9" s="279"/>
      <c r="J9" s="280"/>
      <c r="K9" s="274"/>
      <c r="L9" s="274"/>
      <c r="M9" s="274"/>
      <c r="N9" s="274"/>
    </row>
    <row r="10" spans="2:14" ht="15" customHeight="1">
      <c r="C10" s="682" t="str">
        <f>IF(Indice_index!$Z$1=1,"Impostos Diretos","Direct taxes")</f>
        <v>Direct taxes</v>
      </c>
      <c r="D10" s="72">
        <f t="shared" ref="D10" si="2">SUM(D11:D13)</f>
        <v>19956.94299525</v>
      </c>
      <c r="E10" s="72">
        <f t="shared" ref="E10:F10" si="3">SUM(E11:E13)</f>
        <v>4770.5620355700003</v>
      </c>
      <c r="F10" s="72">
        <f t="shared" si="3"/>
        <v>5722.7247265599999</v>
      </c>
      <c r="G10" s="913">
        <f t="shared" si="0"/>
        <v>19.959130263699265</v>
      </c>
      <c r="H10" s="69">
        <f t="shared" si="1"/>
        <v>5.8059656329657745</v>
      </c>
      <c r="I10" s="69"/>
      <c r="J10" s="70"/>
      <c r="K10" s="66"/>
      <c r="L10" s="66"/>
      <c r="M10" s="66"/>
      <c r="N10" s="66"/>
    </row>
    <row r="11" spans="2:14" ht="15" customHeight="1">
      <c r="C11" s="683" t="str">
        <f>IF(Indice_index!$Z$1=1,"Imposto sobre o Rendimento Pessoas Singulares (IRS)","Personal income tax (IRS)")</f>
        <v>Personal income tax (IRS)</v>
      </c>
      <c r="D11" s="72">
        <v>14534.07338527</v>
      </c>
      <c r="E11" s="72">
        <v>4343.1951517400003</v>
      </c>
      <c r="F11" s="72">
        <v>4490.4845329899999</v>
      </c>
      <c r="G11" s="913">
        <f t="shared" si="0"/>
        <v>3.391267859354457</v>
      </c>
      <c r="H11" s="69">
        <f t="shared" si="1"/>
        <v>0.89812076626227866</v>
      </c>
      <c r="I11" s="69"/>
      <c r="J11" s="70"/>
      <c r="K11" s="66"/>
      <c r="L11" s="66"/>
      <c r="M11" s="66"/>
      <c r="N11" s="66"/>
    </row>
    <row r="12" spans="2:14" ht="15" customHeight="1">
      <c r="C12" s="683" t="str">
        <f>IF(Indice_index!$Z$1=1,"Imposto sobre o Rendimento Pessoas Coletivas (IRC)","Corporate income tax (IRC)")</f>
        <v>Corporate income tax (IRC)</v>
      </c>
      <c r="D12" s="72">
        <v>4933.5586337100003</v>
      </c>
      <c r="E12" s="72">
        <v>419.43761079000001</v>
      </c>
      <c r="F12" s="72">
        <v>1226.36197573</v>
      </c>
      <c r="G12" s="913">
        <f t="shared" si="0"/>
        <v>192.38245311863631</v>
      </c>
      <c r="H12" s="69">
        <f t="shared" si="1"/>
        <v>4.9203515067086139</v>
      </c>
      <c r="I12" s="69"/>
      <c r="J12" s="66"/>
      <c r="K12" s="66"/>
      <c r="L12" s="66"/>
      <c r="M12" s="66"/>
      <c r="N12" s="66"/>
    </row>
    <row r="13" spans="2:14" ht="15" customHeight="1">
      <c r="C13" s="683" t="str">
        <f>IF(Indice_index!$Z$1=1,"Outros","Others")</f>
        <v>Others</v>
      </c>
      <c r="D13" s="72">
        <v>489.31097627000003</v>
      </c>
      <c r="E13" s="72">
        <v>7.92927304</v>
      </c>
      <c r="F13" s="72">
        <v>5.8782178399999996</v>
      </c>
      <c r="G13" s="913">
        <f t="shared" si="0"/>
        <v>-25.866875685239364</v>
      </c>
      <c r="H13" s="69">
        <f t="shared" si="1"/>
        <v>-1.2506640005117378E-2</v>
      </c>
      <c r="I13" s="69"/>
      <c r="J13" s="66"/>
      <c r="K13" s="66"/>
      <c r="L13" s="66"/>
      <c r="M13" s="66"/>
      <c r="N13" s="66"/>
    </row>
    <row r="14" spans="2:14" ht="15" customHeight="1">
      <c r="C14" s="682" t="str">
        <f>IF(Indice_index!$Z$1=1,"Impostos Indiretos","Indirect taxes")</f>
        <v>Indirect taxes</v>
      </c>
      <c r="D14" s="72">
        <f t="shared" ref="D14" si="4">SUM(D15:D22)</f>
        <v>25634.280838840004</v>
      </c>
      <c r="E14" s="72">
        <f t="shared" ref="E14:F14" si="5">SUM(E15:E22)</f>
        <v>9732.523933440003</v>
      </c>
      <c r="F14" s="72">
        <f t="shared" si="5"/>
        <v>11822.799417779999</v>
      </c>
      <c r="G14" s="913">
        <f t="shared" si="0"/>
        <v>21.477219050630982</v>
      </c>
      <c r="H14" s="69">
        <f t="shared" si="1"/>
        <v>12.745792016793454</v>
      </c>
      <c r="I14" s="69"/>
      <c r="J14" s="66"/>
      <c r="K14" s="66"/>
      <c r="L14" s="66"/>
      <c r="M14" s="66"/>
      <c r="N14" s="66"/>
    </row>
    <row r="15" spans="2:14" ht="15" customHeight="1">
      <c r="C15" s="683" t="str">
        <f>IF(Indice_index!$Z$1=1,"Imposto sobre os produtos petrolíferos e energéticos (ISP)","Tax on oil and energy products (ISP)")</f>
        <v>Tax on oil and energy products (ISP)</v>
      </c>
      <c r="D15" s="900">
        <v>3364.0679735099998</v>
      </c>
      <c r="E15" s="72">
        <v>1232.96558824</v>
      </c>
      <c r="F15" s="72">
        <v>1384.22455029</v>
      </c>
      <c r="G15" s="913">
        <f t="shared" si="0"/>
        <v>12.267898106216821</v>
      </c>
      <c r="H15" s="69">
        <f t="shared" si="1"/>
        <v>0.92232592565381055</v>
      </c>
      <c r="I15" s="69"/>
      <c r="J15" s="66"/>
      <c r="K15" s="66"/>
      <c r="L15" s="66"/>
      <c r="M15" s="66"/>
      <c r="N15" s="66"/>
    </row>
    <row r="16" spans="2:14" ht="15" customHeight="1">
      <c r="C16" s="683" t="str">
        <f>IF(Indice_index!$Z$1=1,"Imposto sobre o Valor Acrescentado (IVA)","Value-added tax (IVA)")</f>
        <v>Value-added tax (IVA)</v>
      </c>
      <c r="D16" s="900">
        <v>17728.253620750002</v>
      </c>
      <c r="E16" s="72">
        <v>6811.48104169</v>
      </c>
      <c r="F16" s="72">
        <v>8530.4160416399991</v>
      </c>
      <c r="G16" s="913">
        <f t="shared" si="0"/>
        <v>25.235847966531423</v>
      </c>
      <c r="H16" s="69">
        <f t="shared" si="1"/>
        <v>10.481483500088682</v>
      </c>
      <c r="I16" s="69"/>
      <c r="J16" s="66"/>
      <c r="K16" s="66"/>
      <c r="L16" s="66"/>
      <c r="M16" s="66"/>
      <c r="N16" s="66"/>
    </row>
    <row r="17" spans="3:14" ht="15" customHeight="1">
      <c r="C17" s="683" t="str">
        <f>IF(Indice_index!$Z$1=1,"Imposto sobre Veículos (ISV)","Tax on vehicles (ISV)")</f>
        <v>Tax on vehicles (ISV)</v>
      </c>
      <c r="D17" s="900">
        <v>421.86715766999998</v>
      </c>
      <c r="E17" s="72">
        <v>169.84411765999999</v>
      </c>
      <c r="F17" s="72">
        <v>185.50673128</v>
      </c>
      <c r="G17" s="913">
        <f t="shared" si="0"/>
        <v>9.2217580660367524</v>
      </c>
      <c r="H17" s="69">
        <f t="shared" si="1"/>
        <v>9.55053135988677E-2</v>
      </c>
      <c r="I17" s="69"/>
      <c r="J17" s="66"/>
      <c r="K17" s="66"/>
      <c r="L17" s="66"/>
      <c r="M17" s="66"/>
      <c r="N17" s="66"/>
    </row>
    <row r="18" spans="3:14" ht="15" customHeight="1">
      <c r="C18" s="683" t="str">
        <f>IF(Indice_index!$Z$1=1,"Imposto de consumo sobre o tabaco","Tax on tobacco")</f>
        <v>Tax on tobacco</v>
      </c>
      <c r="D18" s="900">
        <v>1413.60926199</v>
      </c>
      <c r="E18" s="72">
        <v>457.23203046999998</v>
      </c>
      <c r="F18" s="72">
        <v>509.83199048</v>
      </c>
      <c r="G18" s="913">
        <f t="shared" si="0"/>
        <v>11.503997205954979</v>
      </c>
      <c r="H18" s="69">
        <f t="shared" si="1"/>
        <v>0.32073674278909725</v>
      </c>
      <c r="I18" s="69"/>
      <c r="J18" s="66"/>
      <c r="K18" s="66"/>
      <c r="L18" s="66"/>
      <c r="M18" s="66"/>
      <c r="N18" s="66"/>
    </row>
    <row r="19" spans="3:14" ht="15" customHeight="1">
      <c r="C19" s="683" t="str">
        <f>IF(Indice_index!$Z$1=1,"Imposto sobre álcool e bebidas alcoólicas (IABA)","Tax on alcoholic beverages (IABA)")</f>
        <v>Tax on alcoholic beverages (IABA)</v>
      </c>
      <c r="D19" s="900">
        <v>256.87236737000001</v>
      </c>
      <c r="E19" s="72">
        <v>75.651460940000007</v>
      </c>
      <c r="F19" s="72">
        <v>105.38691000999999</v>
      </c>
      <c r="G19" s="913">
        <f t="shared" si="0"/>
        <v>39.305849088074446</v>
      </c>
      <c r="H19" s="69">
        <f t="shared" si="1"/>
        <v>0.18131669830679942</v>
      </c>
      <c r="I19" s="69"/>
      <c r="J19" s="66"/>
      <c r="K19" s="66"/>
      <c r="L19" s="66"/>
      <c r="M19" s="66"/>
      <c r="N19" s="66"/>
    </row>
    <row r="20" spans="3:14" ht="15" customHeight="1">
      <c r="C20" s="683" t="str">
        <f>IF(Indice_index!$Z$1=1,"Imposto do selo","Stamp tax")</f>
        <v>Stamp tax</v>
      </c>
      <c r="D20" s="900">
        <v>1778.41239243</v>
      </c>
      <c r="E20" s="72">
        <v>708.68032315999994</v>
      </c>
      <c r="F20" s="72">
        <v>803.00081716</v>
      </c>
      <c r="G20" s="913">
        <f t="shared" si="0"/>
        <v>13.309314639840105</v>
      </c>
      <c r="H20" s="69">
        <f t="shared" si="1"/>
        <v>0.57513443010350673</v>
      </c>
      <c r="I20" s="69"/>
      <c r="J20" s="66"/>
      <c r="K20" s="66"/>
      <c r="L20" s="66"/>
      <c r="M20" s="66"/>
      <c r="N20" s="66"/>
    </row>
    <row r="21" spans="3:14" ht="15" customHeight="1">
      <c r="C21" s="683" t="str">
        <f>IF(Indice_index!$Z$1=1,"Imposto Único de Circulação (IUC)","Tax on vehicle circulation (IUC)")</f>
        <v>Tax on vehicle circulation (IUC)</v>
      </c>
      <c r="D21" s="900">
        <v>401.18201901999998</v>
      </c>
      <c r="E21" s="72">
        <v>158.66918283000001</v>
      </c>
      <c r="F21" s="72">
        <v>182.63390240000001</v>
      </c>
      <c r="G21" s="913">
        <f t="shared" si="0"/>
        <v>15.103575339942399</v>
      </c>
      <c r="H21" s="69">
        <f t="shared" si="1"/>
        <v>0.1461287441145325</v>
      </c>
      <c r="I21" s="69"/>
      <c r="J21" s="66"/>
      <c r="K21" s="66"/>
      <c r="L21" s="66"/>
      <c r="M21" s="66"/>
      <c r="N21" s="66"/>
    </row>
    <row r="22" spans="3:14" ht="15" customHeight="1">
      <c r="C22" s="683" t="str">
        <f>IF(Indice_index!$Z$1=1,"Outros","Others")</f>
        <v>Others</v>
      </c>
      <c r="D22" s="900">
        <v>270.0160461000001</v>
      </c>
      <c r="E22" s="72">
        <v>118.00018845000008</v>
      </c>
      <c r="F22" s="72">
        <v>121.79847452000003</v>
      </c>
      <c r="G22" s="913">
        <f t="shared" si="0"/>
        <v>3.2188813593373071</v>
      </c>
      <c r="H22" s="69">
        <f t="shared" si="1"/>
        <v>2.3160662138172288E-2</v>
      </c>
      <c r="I22" s="69"/>
      <c r="J22" s="66"/>
      <c r="K22" s="66"/>
      <c r="L22" s="66"/>
      <c r="M22" s="66"/>
      <c r="N22" s="66"/>
    </row>
    <row r="23" spans="3:14" ht="4.5" customHeight="1">
      <c r="C23" s="683"/>
      <c r="D23" s="72"/>
      <c r="E23" s="72"/>
      <c r="F23" s="72"/>
      <c r="G23" s="914"/>
      <c r="H23" s="69"/>
      <c r="I23" s="69"/>
      <c r="J23" s="66"/>
      <c r="K23" s="66"/>
      <c r="L23" s="66"/>
      <c r="M23" s="66"/>
      <c r="N23" s="66"/>
    </row>
    <row r="24" spans="3:14" s="278" customFormat="1" ht="15" customHeight="1">
      <c r="C24" s="912" t="str">
        <f>IF(Indice_index!$Z$1=1,"Contribuições para Segurança Social, CGA e ADSE","Social security, CGA and ADSE contributions")</f>
        <v>Social security, CGA and ADSE contributions</v>
      </c>
      <c r="D24" s="279">
        <f>SUM(D25:D26)</f>
        <v>66.578526589999996</v>
      </c>
      <c r="E24" s="279">
        <f>SUM(E25:E26)</f>
        <v>23.09374373</v>
      </c>
      <c r="F24" s="279">
        <f>SUM(F25:F26)</f>
        <v>25.86644793</v>
      </c>
      <c r="G24" s="279">
        <f>IF(IFERROR((F24-E24)/E24*100,"")&gt;500,"-",IFERROR((F24-E24)/E24*100,""))</f>
        <v>12.006300201548136</v>
      </c>
      <c r="H24" s="279">
        <f>IFERROR((F24-E24)/$E$62*100,"-")</f>
        <v>1.6907011215532848E-2</v>
      </c>
      <c r="I24" s="279"/>
      <c r="J24" s="274"/>
      <c r="K24" s="274"/>
      <c r="L24" s="274"/>
      <c r="M24" s="274"/>
      <c r="N24" s="274"/>
    </row>
    <row r="25" spans="3:14" ht="15" customHeight="1">
      <c r="C25" s="683" t="str">
        <f>IF(Indice_index!$Z$1=1,"Comparticipações para a ADSE","ADSE co-payments")</f>
        <v>ADSE co-payments</v>
      </c>
      <c r="D25" s="72">
        <v>0</v>
      </c>
      <c r="E25" s="72">
        <v>0</v>
      </c>
      <c r="F25" s="72">
        <v>0</v>
      </c>
      <c r="G25" s="914" t="str">
        <f>IF(IFERROR((F25-E25)/E25*100,"")&gt;500,"-",IFERROR((F25-E25)/E25*100,""))</f>
        <v>-</v>
      </c>
      <c r="H25" s="69">
        <f>IFERROR((F25-E25)/$E$62*100,"-")</f>
        <v>0</v>
      </c>
      <c r="I25" s="69"/>
      <c r="J25" s="66"/>
      <c r="K25" s="66"/>
      <c r="L25" s="66"/>
      <c r="M25" s="66"/>
      <c r="N25" s="66"/>
    </row>
    <row r="26" spans="3:14" ht="15" customHeight="1">
      <c r="C26" s="683" t="str">
        <f>IF(Indice_index!$Z$1=1,"Outros","Others")</f>
        <v>Others</v>
      </c>
      <c r="D26" s="72">
        <v>66.578526589999996</v>
      </c>
      <c r="E26" s="72">
        <v>23.09374373</v>
      </c>
      <c r="F26" s="72">
        <v>25.86644793</v>
      </c>
      <c r="G26" s="914">
        <f>IF(IFERROR((F26-E26)/E26*100,"")&gt;500,"-",IFERROR((F26-E26)/E26*100,""))</f>
        <v>12.006300201548136</v>
      </c>
      <c r="H26" s="69">
        <f>IFERROR((F26-E26)/$E$62*100,"-")</f>
        <v>1.6907011215532848E-2</v>
      </c>
      <c r="I26" s="69"/>
      <c r="K26" s="66"/>
      <c r="L26" s="66"/>
      <c r="M26" s="66"/>
      <c r="N26" s="66"/>
    </row>
    <row r="27" spans="3:14" ht="4.5" customHeight="1">
      <c r="C27" s="684"/>
      <c r="D27" s="901"/>
      <c r="E27" s="901"/>
      <c r="F27" s="901"/>
      <c r="G27" s="913"/>
      <c r="H27" s="71"/>
      <c r="I27" s="71"/>
      <c r="K27" s="66"/>
      <c r="L27" s="66"/>
      <c r="M27" s="66"/>
      <c r="N27" s="66"/>
    </row>
    <row r="28" spans="3:14" s="278" customFormat="1" ht="15" customHeight="1">
      <c r="C28" s="912" t="str">
        <f>IF(Indice_index!$Z$1=1,"Receita não fiscal","Non-tax revenue")</f>
        <v>Non-tax revenue</v>
      </c>
      <c r="D28" s="279">
        <f>+D29+D52</f>
        <v>4416.3290454100006</v>
      </c>
      <c r="E28" s="279">
        <f>+E29+E52</f>
        <v>1873.5503439399999</v>
      </c>
      <c r="F28" s="279">
        <f>+F29+F52</f>
        <v>2172.5365776600001</v>
      </c>
      <c r="G28" s="279">
        <f t="shared" ref="G28:G50" si="6">IF(IFERROR((F28-E28)/E28*100,"")&gt;500,"-",IFERROR((F28-E28)/E28*100,""))</f>
        <v>15.958270600364244</v>
      </c>
      <c r="H28" s="279">
        <f t="shared" ref="H28:H50" si="7">IFERROR((F28-E28)/$E$62*100,"-")</f>
        <v>1.8231167994025361</v>
      </c>
      <c r="I28" s="279"/>
      <c r="J28" s="280"/>
      <c r="K28" s="274"/>
      <c r="L28" s="274"/>
      <c r="M28" s="274"/>
      <c r="N28" s="274"/>
    </row>
    <row r="29" spans="3:14" ht="15" customHeight="1">
      <c r="C29" s="682" t="str">
        <f>IF(Indice_index!$Z$1=1,"Correntes","Current")</f>
        <v>Current</v>
      </c>
      <c r="D29" s="72">
        <f>SUM(D30,D35,D39,D44:D45,D49:D51)</f>
        <v>4331.561351450001</v>
      </c>
      <c r="E29" s="72">
        <f>SUM(E30,E35,E39,E44:E45,E49:E51)</f>
        <v>1826.8659092</v>
      </c>
      <c r="F29" s="72">
        <f>SUM(F30,F35,F39,F44:F45,F49:F51)</f>
        <v>1906.6182933600001</v>
      </c>
      <c r="G29" s="914">
        <f t="shared" si="6"/>
        <v>4.3655302646117171</v>
      </c>
      <c r="H29" s="69">
        <f t="shared" si="7"/>
        <v>0.48630302989356194</v>
      </c>
      <c r="I29" s="69"/>
      <c r="J29" s="68"/>
      <c r="K29" s="66"/>
      <c r="L29" s="66"/>
      <c r="M29" s="66"/>
      <c r="N29" s="66"/>
    </row>
    <row r="30" spans="3:14" ht="15" customHeight="1">
      <c r="C30" s="683" t="str">
        <f>IF(Indice_index!$Z$1=1,"Taxas, Multas e Outras Penalidades","Taxes, fines and other penalties")</f>
        <v>Taxes, fines and other penalties</v>
      </c>
      <c r="D30" s="72">
        <f t="shared" ref="D30:F30" si="8">SUM(D31:D34)</f>
        <v>857.09185406000006</v>
      </c>
      <c r="E30" s="72">
        <f t="shared" si="8"/>
        <v>301.83455371000002</v>
      </c>
      <c r="F30" s="72">
        <f t="shared" si="8"/>
        <v>401.39820534</v>
      </c>
      <c r="G30" s="914">
        <f t="shared" si="6"/>
        <v>32.986167556435525</v>
      </c>
      <c r="H30" s="69">
        <f t="shared" si="7"/>
        <v>0.60710542969849257</v>
      </c>
      <c r="I30" s="69"/>
      <c r="K30" s="66"/>
      <c r="L30" s="66"/>
      <c r="M30" s="66"/>
      <c r="N30" s="66"/>
    </row>
    <row r="31" spans="3:14" ht="15" customHeight="1">
      <c r="C31" s="915" t="str">
        <f>IF(Indice_index!$Z$1=1,"Taxas","Taxes")</f>
        <v>Taxes</v>
      </c>
      <c r="D31" s="72">
        <v>546.63159624000002</v>
      </c>
      <c r="E31" s="72">
        <v>200.43247289000001</v>
      </c>
      <c r="F31" s="72">
        <v>276.75104446</v>
      </c>
      <c r="G31" s="914">
        <f t="shared" si="6"/>
        <v>38.076949542943886</v>
      </c>
      <c r="H31" s="69">
        <f t="shared" si="7"/>
        <v>0.46536480360488375</v>
      </c>
      <c r="I31" s="69"/>
      <c r="K31" s="66"/>
      <c r="L31" s="66"/>
      <c r="M31" s="66"/>
      <c r="N31" s="66"/>
    </row>
    <row r="32" spans="3:14" ht="15" customHeight="1">
      <c r="C32" s="915" t="str">
        <f>IF(Indice_index!$Z$1=1,"Juros de mora e compensatórios","Default and compensatory interests")</f>
        <v>Default and compensatory interests</v>
      </c>
      <c r="D32" s="72">
        <v>67.454711520000004</v>
      </c>
      <c r="E32" s="72">
        <v>17.65500535</v>
      </c>
      <c r="F32" s="72">
        <v>38.080004259999995</v>
      </c>
      <c r="G32" s="914">
        <f t="shared" si="6"/>
        <v>115.68956511247954</v>
      </c>
      <c r="H32" s="69">
        <f t="shared" si="7"/>
        <v>0.1245447262815183</v>
      </c>
      <c r="I32" s="69"/>
      <c r="K32" s="66"/>
      <c r="L32" s="66"/>
      <c r="M32" s="66"/>
      <c r="N32" s="66"/>
    </row>
    <row r="33" spans="3:14" ht="15" customHeight="1">
      <c r="C33" s="915" t="str">
        <f>IF(Indice_index!$Z$1=1,"Multas do Código da Estrada","Highway code fines")</f>
        <v>Highway code fines</v>
      </c>
      <c r="D33" s="72">
        <v>82.447458960000006</v>
      </c>
      <c r="E33" s="72">
        <v>35.689370799999999</v>
      </c>
      <c r="F33" s="72">
        <v>30.79415843</v>
      </c>
      <c r="G33" s="914">
        <f t="shared" si="6"/>
        <v>-13.71616327290365</v>
      </c>
      <c r="H33" s="69">
        <f t="shared" si="7"/>
        <v>-2.9849347233651943E-2</v>
      </c>
      <c r="I33" s="69"/>
      <c r="K33" s="66"/>
      <c r="L33" s="66"/>
      <c r="M33" s="66"/>
      <c r="N33" s="66"/>
    </row>
    <row r="34" spans="3:14" ht="15" customHeight="1">
      <c r="C34" s="915" t="str">
        <f>IF(Indice_index!$Z$1=1,"Outras multas e penalidades diversas","Other fines and diverse penalties")</f>
        <v>Other fines and diverse penalties</v>
      </c>
      <c r="D34" s="72">
        <v>160.55808733999999</v>
      </c>
      <c r="E34" s="72">
        <v>48.05770467</v>
      </c>
      <c r="F34" s="72">
        <v>55.772998189999996</v>
      </c>
      <c r="G34" s="914">
        <f t="shared" si="6"/>
        <v>16.054228084713884</v>
      </c>
      <c r="H34" s="69">
        <f t="shared" si="7"/>
        <v>4.7045247045742505E-2</v>
      </c>
      <c r="I34" s="69"/>
      <c r="K34" s="66"/>
      <c r="L34" s="66"/>
      <c r="M34" s="66"/>
      <c r="N34" s="66"/>
    </row>
    <row r="35" spans="3:14" ht="15" customHeight="1">
      <c r="C35" s="683" t="str">
        <f>IF(Indice_index!$Z$1=1,"Rendimentos da Propriedade","Property income")</f>
        <v>Property income</v>
      </c>
      <c r="D35" s="72">
        <f>SUM(D36:D38)</f>
        <v>759.19899399999997</v>
      </c>
      <c r="E35" s="72">
        <f>SUM(E36:E38)</f>
        <v>424.14274391000004</v>
      </c>
      <c r="F35" s="72">
        <f>SUM(F36:F38)</f>
        <v>410.39003542000006</v>
      </c>
      <c r="G35" s="914">
        <f t="shared" si="6"/>
        <v>-3.2424717120513082</v>
      </c>
      <c r="H35" s="69">
        <f t="shared" si="7"/>
        <v>-8.3859358919131516E-2</v>
      </c>
      <c r="I35" s="69"/>
      <c r="K35" s="66"/>
      <c r="L35" s="66"/>
      <c r="M35" s="66"/>
      <c r="N35" s="66"/>
    </row>
    <row r="36" spans="3:14" ht="15" customHeight="1">
      <c r="C36" s="915" t="str">
        <f>IF(Indice_index!$Z$1=1,"Juros","Interests")</f>
        <v>Interests</v>
      </c>
      <c r="D36" s="72">
        <v>110.78467236</v>
      </c>
      <c r="E36" s="72">
        <v>86.16768015000001</v>
      </c>
      <c r="F36" s="72">
        <v>97.455181660000008</v>
      </c>
      <c r="G36" s="914">
        <f t="shared" si="6"/>
        <v>13.099460830732365</v>
      </c>
      <c r="H36" s="69">
        <f t="shared" si="7"/>
        <v>6.882736161503053E-2</v>
      </c>
      <c r="I36" s="69"/>
      <c r="J36" s="72"/>
      <c r="K36" s="66"/>
      <c r="L36" s="66"/>
      <c r="M36" s="66"/>
      <c r="N36" s="66"/>
    </row>
    <row r="37" spans="3:14" ht="15" customHeight="1">
      <c r="C37" s="915" t="str">
        <f>IF(Indice_index!$Z$1=1,"Dividendos e participações nos lucros","Dividends and profit participations")</f>
        <v>Dividends and profit participations</v>
      </c>
      <c r="D37" s="902">
        <v>644.85672493000004</v>
      </c>
      <c r="E37" s="902">
        <v>337.23773765999999</v>
      </c>
      <c r="F37" s="902">
        <v>311.95465627000004</v>
      </c>
      <c r="G37" s="914">
        <f t="shared" si="6"/>
        <v>-7.4971091804352339</v>
      </c>
      <c r="H37" s="69">
        <f t="shared" si="7"/>
        <v>-0.15416766802025222</v>
      </c>
      <c r="I37" s="69"/>
      <c r="K37" s="66"/>
      <c r="L37" s="66"/>
      <c r="M37" s="66"/>
      <c r="N37" s="66"/>
    </row>
    <row r="38" spans="3:14" s="67" customFormat="1" ht="15" customHeight="1">
      <c r="C38" s="915" t="str">
        <f>IF(Indice_index!$Z$1=1,"Outros","Others")</f>
        <v>Others</v>
      </c>
      <c r="D38" s="72">
        <v>3.5575967099999999</v>
      </c>
      <c r="E38" s="72">
        <v>0.73732609999999998</v>
      </c>
      <c r="F38" s="72">
        <v>0.98019749</v>
      </c>
      <c r="G38" s="914">
        <f t="shared" si="6"/>
        <v>32.939480916245884</v>
      </c>
      <c r="H38" s="69">
        <f t="shared" si="7"/>
        <v>1.4809474860903132E-3</v>
      </c>
      <c r="I38" s="69"/>
      <c r="K38" s="66"/>
      <c r="L38" s="66"/>
      <c r="M38" s="66"/>
      <c r="N38" s="66"/>
    </row>
    <row r="39" spans="3:14" s="67" customFormat="1" ht="15" customHeight="1">
      <c r="C39" s="683" t="str">
        <f>IF(Indice_index!$Z$1=1,"Transferências Correntes","Current transfers")</f>
        <v>Current transfers</v>
      </c>
      <c r="D39" s="72">
        <f>SUM(D40:D43)</f>
        <v>1214.3733370100001</v>
      </c>
      <c r="E39" s="72">
        <f>SUM(E40:E43)</f>
        <v>523.88160105999998</v>
      </c>
      <c r="F39" s="72">
        <f>SUM(F40:F43)</f>
        <v>420.61059769999997</v>
      </c>
      <c r="G39" s="914">
        <f t="shared" si="6"/>
        <v>-19.712660866700759</v>
      </c>
      <c r="H39" s="69">
        <f t="shared" si="7"/>
        <v>-0.62971160502690871</v>
      </c>
      <c r="I39" s="69"/>
      <c r="J39" s="73"/>
      <c r="K39" s="66"/>
      <c r="L39" s="66"/>
      <c r="M39" s="66"/>
      <c r="N39" s="66"/>
    </row>
    <row r="40" spans="3:14" s="67" customFormat="1" ht="15" customHeight="1">
      <c r="C40" s="915" t="str">
        <f>IF(Indice_index!$Z$1=1,"Administração Central","Central Administration")</f>
        <v>Central Administration</v>
      </c>
      <c r="D40" s="72">
        <v>528.42067895000002</v>
      </c>
      <c r="E40" s="72">
        <v>206.63034205</v>
      </c>
      <c r="F40" s="72">
        <v>176.95584355</v>
      </c>
      <c r="G40" s="914">
        <f t="shared" si="6"/>
        <v>-14.361152483994545</v>
      </c>
      <c r="H40" s="69">
        <f t="shared" si="7"/>
        <v>-0.18094504237228504</v>
      </c>
      <c r="I40" s="69"/>
      <c r="K40" s="66"/>
      <c r="L40" s="66"/>
      <c r="M40" s="66"/>
      <c r="N40" s="66"/>
    </row>
    <row r="41" spans="3:14" ht="15" customHeight="1">
      <c r="C41" s="915" t="str">
        <f>IF(Indice_index!$Z$1=1,"Outros subsectores das AP","Other General Government subsectors")</f>
        <v>Other General Government subsectors</v>
      </c>
      <c r="D41" s="72">
        <v>215.78015270999998</v>
      </c>
      <c r="E41" s="72">
        <v>78.896954960000002</v>
      </c>
      <c r="F41" s="72">
        <v>111.44166935999999</v>
      </c>
      <c r="G41" s="914">
        <f t="shared" si="6"/>
        <v>41.249645713829949</v>
      </c>
      <c r="H41" s="69">
        <f t="shared" si="7"/>
        <v>0.19844664691138467</v>
      </c>
      <c r="I41" s="69"/>
      <c r="K41" s="66"/>
      <c r="L41" s="66"/>
      <c r="M41" s="66"/>
      <c r="N41" s="66"/>
    </row>
    <row r="42" spans="3:14" s="67" customFormat="1" ht="15" customHeight="1">
      <c r="C42" s="915" t="str">
        <f>IF(Indice_index!$Z$1=1,"União Europeia","European Union")</f>
        <v>European Union</v>
      </c>
      <c r="D42" s="72">
        <v>456.44551322000001</v>
      </c>
      <c r="E42" s="72">
        <v>230.99847746</v>
      </c>
      <c r="F42" s="72">
        <v>123.18365315999999</v>
      </c>
      <c r="G42" s="914">
        <f t="shared" si="6"/>
        <v>-46.673391740718017</v>
      </c>
      <c r="H42" s="69">
        <f t="shared" si="7"/>
        <v>-0.65741828632163646</v>
      </c>
      <c r="I42" s="69"/>
      <c r="K42" s="66"/>
      <c r="L42" s="66"/>
      <c r="M42" s="66"/>
      <c r="N42" s="66"/>
    </row>
    <row r="43" spans="3:14" ht="15" customHeight="1">
      <c r="C43" s="915" t="str">
        <f>IF(Indice_index!$Z$1=1,"Outros","Others")</f>
        <v>Others</v>
      </c>
      <c r="D43" s="72">
        <v>13.726992130000001</v>
      </c>
      <c r="E43" s="72">
        <v>7.3558265900000004</v>
      </c>
      <c r="F43" s="72">
        <v>9.0294316299999995</v>
      </c>
      <c r="G43" s="914">
        <f t="shared" si="6"/>
        <v>22.752100250367636</v>
      </c>
      <c r="H43" s="69">
        <f t="shared" si="7"/>
        <v>1.0205076755628057E-2</v>
      </c>
      <c r="I43" s="69"/>
      <c r="K43" s="66"/>
      <c r="L43" s="66"/>
      <c r="M43" s="66"/>
      <c r="N43" s="66"/>
    </row>
    <row r="44" spans="3:14" s="67" customFormat="1" ht="15" customHeight="1">
      <c r="C44" s="683" t="str">
        <f>IF(Indice_index!$Z$1=1,"Venda de Bens e Serviços Correntes","Sale of current goods and services")</f>
        <v>Sale of current goods and services</v>
      </c>
      <c r="D44" s="72">
        <v>736.75581270999999</v>
      </c>
      <c r="E44" s="72">
        <v>135.76984404999999</v>
      </c>
      <c r="F44" s="72">
        <v>220.23136757</v>
      </c>
      <c r="G44" s="914">
        <f t="shared" si="6"/>
        <v>62.209339718248003</v>
      </c>
      <c r="H44" s="69">
        <f t="shared" si="7"/>
        <v>0.51501776692718682</v>
      </c>
      <c r="I44" s="69"/>
      <c r="K44" s="66"/>
      <c r="L44" s="66"/>
      <c r="M44" s="66"/>
      <c r="N44" s="66"/>
    </row>
    <row r="45" spans="3:14" ht="15" customHeight="1">
      <c r="C45" s="683" t="str">
        <f>IF(Indice_index!$Z$1=1,"Outras Receitas Correntes","Other current revenue")</f>
        <v>Other current revenue</v>
      </c>
      <c r="D45" s="902">
        <f t="shared" ref="D45" si="9">SUM(D46:D48)</f>
        <v>351.11166080999999</v>
      </c>
      <c r="E45" s="902">
        <f t="shared" ref="E45:F45" si="10">SUM(E46:E48)</f>
        <v>205.82254392999999</v>
      </c>
      <c r="F45" s="902">
        <f t="shared" si="10"/>
        <v>93.210882190000007</v>
      </c>
      <c r="G45" s="914">
        <f t="shared" si="6"/>
        <v>-54.712987017738492</v>
      </c>
      <c r="H45" s="69">
        <f t="shared" si="7"/>
        <v>-0.68666777654752043</v>
      </c>
      <c r="I45" s="69"/>
      <c r="K45" s="66"/>
      <c r="L45" s="66"/>
      <c r="M45" s="66"/>
      <c r="N45" s="66"/>
    </row>
    <row r="46" spans="3:14" ht="15" customHeight="1">
      <c r="C46" s="915" t="str">
        <f>IF(Indice_index!$Z$1=1,"Prémios e taxas por garantias de riscos","Premiums and rates on risk guarantees")</f>
        <v>Premiums and rates on risk guarantees</v>
      </c>
      <c r="D46" s="902">
        <v>31.280779299999999</v>
      </c>
      <c r="E46" s="902">
        <v>11.111045949999999</v>
      </c>
      <c r="F46" s="902">
        <v>4.89384862</v>
      </c>
      <c r="G46" s="914">
        <f t="shared" si="6"/>
        <v>-55.9551041187081</v>
      </c>
      <c r="H46" s="69">
        <f>IFERROR((F46-E46)/$E$62*100,"-")</f>
        <v>-3.7910363820089742E-2</v>
      </c>
      <c r="I46" s="69"/>
      <c r="K46" s="66"/>
      <c r="L46" s="66"/>
      <c r="M46" s="66"/>
      <c r="N46" s="66"/>
    </row>
    <row r="47" spans="3:14" ht="15" customHeight="1">
      <c r="C47" s="915" t="str">
        <f>IF(Indice_index!$Z$1=1,"Subsídios","Subsidies")</f>
        <v>Subsidies</v>
      </c>
      <c r="D47" s="72">
        <v>252.35391096000001</v>
      </c>
      <c r="E47" s="72">
        <v>156.02806544000001</v>
      </c>
      <c r="F47" s="72">
        <v>65.181640209999998</v>
      </c>
      <c r="G47" s="914">
        <f t="shared" si="6"/>
        <v>-58.224413007885843</v>
      </c>
      <c r="H47" s="69">
        <f t="shared" si="7"/>
        <v>-0.55395073526223126</v>
      </c>
      <c r="I47" s="69"/>
      <c r="K47" s="66"/>
      <c r="L47" s="66"/>
      <c r="M47" s="66"/>
      <c r="N47" s="66"/>
    </row>
    <row r="48" spans="3:14" ht="15" customHeight="1">
      <c r="C48" s="915" t="str">
        <f>IF(Indice_index!$Z$1=1,"Outras","Others")</f>
        <v>Others</v>
      </c>
      <c r="D48" s="72">
        <v>67.476970550000004</v>
      </c>
      <c r="E48" s="72">
        <v>38.683432539999998</v>
      </c>
      <c r="F48" s="72">
        <v>23.135393360000002</v>
      </c>
      <c r="G48" s="914">
        <f t="shared" si="6"/>
        <v>-40.193018455440296</v>
      </c>
      <c r="H48" s="69">
        <f t="shared" si="7"/>
        <v>-9.4806677465199538E-2</v>
      </c>
      <c r="I48" s="69"/>
      <c r="K48" s="66"/>
      <c r="L48" s="66"/>
      <c r="M48" s="66"/>
      <c r="N48" s="66"/>
    </row>
    <row r="49" spans="3:14" ht="15" customHeight="1">
      <c r="C49" s="683" t="str">
        <f>IF(Indice_index!$Z$1=1,"Recursos Próprios Comunitários","Community own resources")</f>
        <v>Community own resources</v>
      </c>
      <c r="D49" s="72">
        <v>238.33935378000001</v>
      </c>
      <c r="E49" s="72">
        <v>85.587508619999994</v>
      </c>
      <c r="F49" s="72">
        <v>145.55343155</v>
      </c>
      <c r="G49" s="914">
        <f t="shared" si="6"/>
        <v>70.063872517007979</v>
      </c>
      <c r="H49" s="69">
        <f t="shared" si="7"/>
        <v>0.36565189013934069</v>
      </c>
      <c r="I49" s="69"/>
      <c r="K49" s="66"/>
      <c r="L49" s="66"/>
      <c r="M49" s="66"/>
      <c r="N49" s="66"/>
    </row>
    <row r="50" spans="3:14" ht="15" customHeight="1">
      <c r="C50" s="683" t="str">
        <f>IF(Indice_index!$Z$1=1,"Reposições Não Abatidas nos Pagamentos","Refunds not deducted from payments")</f>
        <v>Refunds not deducted from payments</v>
      </c>
      <c r="D50" s="72">
        <v>174.68589734</v>
      </c>
      <c r="E50" s="72">
        <v>149.82682463</v>
      </c>
      <c r="F50" s="72">
        <v>215.22161456000001</v>
      </c>
      <c r="G50" s="914">
        <f t="shared" si="6"/>
        <v>43.646917093446781</v>
      </c>
      <c r="H50" s="69">
        <f t="shared" si="7"/>
        <v>0.3987552825807833</v>
      </c>
      <c r="I50" s="69"/>
      <c r="K50" s="66"/>
      <c r="L50" s="66"/>
      <c r="M50" s="66"/>
      <c r="N50" s="66"/>
    </row>
    <row r="51" spans="3:14" ht="15" customHeight="1">
      <c r="C51" s="683" t="str">
        <f>IF(Indice_index!$Z$1=1,"Diferenças de consolidação","Consolidation differences")</f>
        <v>Consolidation differences</v>
      </c>
      <c r="D51" s="72">
        <v>4.4417399999999996E-3</v>
      </c>
      <c r="E51" s="72">
        <v>2.8928999999999999E-4</v>
      </c>
      <c r="F51" s="72">
        <v>2.1590300000000002E-3</v>
      </c>
      <c r="G51" s="914"/>
      <c r="H51" s="69"/>
      <c r="I51" s="69"/>
      <c r="K51" s="66"/>
      <c r="L51" s="66"/>
      <c r="M51" s="66"/>
      <c r="N51" s="66"/>
    </row>
    <row r="52" spans="3:14" ht="15" customHeight="1">
      <c r="C52" s="682" t="s">
        <v>6</v>
      </c>
      <c r="D52" s="902">
        <f>SUM(D53:D54,D59:D60)</f>
        <v>84.767693959999988</v>
      </c>
      <c r="E52" s="902">
        <f>SUM(E53:E54,E59:E60)</f>
        <v>46.68443474</v>
      </c>
      <c r="F52" s="902">
        <f>SUM(F53:F54,F59:F60)</f>
        <v>265.91828429999998</v>
      </c>
      <c r="G52" s="914">
        <f t="shared" ref="G52:G59" si="11">IF(IFERROR((F52-E52)/E52*100,"")&gt;500,"-",IFERROR((F52-E52)/E52*100,""))</f>
        <v>469.60801984854442</v>
      </c>
      <c r="H52" s="69">
        <f t="shared" ref="H52:H59" si="12">IFERROR((F52-E52)/$E$62*100,"-")</f>
        <v>1.336813769508973</v>
      </c>
      <c r="I52" s="69"/>
      <c r="J52" s="66"/>
      <c r="K52" s="66"/>
      <c r="L52" s="66"/>
      <c r="M52" s="66"/>
      <c r="N52" s="66"/>
    </row>
    <row r="53" spans="3:14" ht="15" customHeight="1">
      <c r="C53" s="683" t="str">
        <f>IF(Indice_index!$Z$1=1,"Venda de Bens de Investimento","Sale of investment goods")</f>
        <v>Sale of investment goods</v>
      </c>
      <c r="D53" s="72">
        <v>36.8988175</v>
      </c>
      <c r="E53" s="72">
        <v>30.393525539999999</v>
      </c>
      <c r="F53" s="72">
        <v>30.883166469999999</v>
      </c>
      <c r="G53" s="914">
        <f t="shared" si="11"/>
        <v>1.6110040585966199</v>
      </c>
      <c r="H53" s="69">
        <f t="shared" si="12"/>
        <v>2.9856645707443076E-3</v>
      </c>
      <c r="I53" s="69"/>
      <c r="K53" s="66"/>
      <c r="L53" s="66"/>
      <c r="M53" s="66"/>
      <c r="N53" s="66"/>
    </row>
    <row r="54" spans="3:14" ht="15" customHeight="1">
      <c r="C54" s="683" t="str">
        <f>IF(Indice_index!$Z$1=1,"Transferências de Capital","Capital transfers")</f>
        <v>Capital transfers</v>
      </c>
      <c r="D54" s="902">
        <f>SUM(D55:D58)</f>
        <v>45.685864639999998</v>
      </c>
      <c r="E54" s="902">
        <f>SUM(E55:E58)</f>
        <v>13.57528394</v>
      </c>
      <c r="F54" s="902">
        <f>SUM(F55:F58)</f>
        <v>226.19789230999999</v>
      </c>
      <c r="G54" s="914" t="str">
        <f t="shared" si="11"/>
        <v>-</v>
      </c>
      <c r="H54" s="69">
        <f t="shared" si="12"/>
        <v>1.2965006596763688</v>
      </c>
      <c r="I54" s="69"/>
      <c r="K54" s="66"/>
      <c r="L54" s="66"/>
      <c r="M54" s="66"/>
      <c r="N54" s="66"/>
    </row>
    <row r="55" spans="3:14" ht="15" customHeight="1">
      <c r="C55" s="915" t="str">
        <f>IF(Indice_index!$Z$1=1,"Administração Central","Central Administration")</f>
        <v>Central Administration</v>
      </c>
      <c r="D55" s="72">
        <v>17.407786689999998</v>
      </c>
      <c r="E55" s="72">
        <v>5.2418978799999998</v>
      </c>
      <c r="F55" s="72">
        <v>6.4350891100000007</v>
      </c>
      <c r="G55" s="914">
        <f t="shared" si="11"/>
        <v>22.762580601818229</v>
      </c>
      <c r="H55" s="69">
        <f t="shared" si="12"/>
        <v>7.2756760378137166E-3</v>
      </c>
      <c r="I55" s="69"/>
      <c r="J55" s="74"/>
      <c r="K55" s="66"/>
      <c r="L55" s="66"/>
      <c r="M55" s="66"/>
      <c r="N55" s="66"/>
    </row>
    <row r="56" spans="3:14" ht="15" customHeight="1">
      <c r="C56" s="915" t="str">
        <f>IF(Indice_index!$Z$1=1,"Outros subsectores das AP","Other General Government subsectors")</f>
        <v>Other General Government subsectors</v>
      </c>
      <c r="D56" s="72">
        <v>3.0124069999999999E-2</v>
      </c>
      <c r="E56" s="72">
        <v>0</v>
      </c>
      <c r="F56" s="72">
        <v>1.867427E-2</v>
      </c>
      <c r="G56" s="914" t="str">
        <f t="shared" si="11"/>
        <v>-</v>
      </c>
      <c r="H56" s="69">
        <f t="shared" si="12"/>
        <v>1.138693742851793E-4</v>
      </c>
      <c r="I56" s="69"/>
      <c r="J56" s="75"/>
      <c r="K56" s="66"/>
      <c r="L56" s="66"/>
      <c r="M56" s="66"/>
      <c r="N56" s="66"/>
    </row>
    <row r="57" spans="3:14" ht="15" customHeight="1">
      <c r="C57" s="915" t="str">
        <f>IF(Indice_index!$Z$1=1,"União Europeia","European Union")</f>
        <v>European Union</v>
      </c>
      <c r="D57" s="72">
        <v>18.856822619999999</v>
      </c>
      <c r="E57" s="72">
        <v>6.7952878999999999</v>
      </c>
      <c r="F57" s="72">
        <v>217.73320034</v>
      </c>
      <c r="G57" s="914" t="str">
        <f t="shared" si="11"/>
        <v>-</v>
      </c>
      <c r="H57" s="69">
        <f t="shared" si="12"/>
        <v>1.2862279544295299</v>
      </c>
      <c r="I57" s="69"/>
      <c r="J57" s="75"/>
      <c r="K57" s="66"/>
      <c r="L57" s="66"/>
      <c r="M57" s="66"/>
      <c r="N57" s="66"/>
    </row>
    <row r="58" spans="3:14" ht="15" customHeight="1">
      <c r="C58" s="915" t="str">
        <f>IF(Indice_index!$Z$1=1,"Outros","Others")</f>
        <v>Others</v>
      </c>
      <c r="D58" s="72">
        <v>9.3911312599999999</v>
      </c>
      <c r="E58" s="72">
        <v>1.5380981599999999</v>
      </c>
      <c r="F58" s="72">
        <v>2.0109285900000002</v>
      </c>
      <c r="G58" s="914">
        <f t="shared" si="11"/>
        <v>30.741238907665057</v>
      </c>
      <c r="H58" s="69">
        <f t="shared" si="12"/>
        <v>2.8831598347401162E-3</v>
      </c>
      <c r="I58" s="69"/>
      <c r="K58" s="66"/>
      <c r="L58" s="66"/>
      <c r="M58" s="66"/>
      <c r="N58" s="66"/>
    </row>
    <row r="59" spans="3:14" ht="15" customHeight="1">
      <c r="C59" s="683" t="str">
        <f>IF(Indice_index!$Z$1=1,"Outras Receitas de Capital","Other capital revenue")</f>
        <v>Other capital revenue</v>
      </c>
      <c r="D59" s="72">
        <v>1.50296685</v>
      </c>
      <c r="E59" s="72">
        <v>1.79048593</v>
      </c>
      <c r="F59" s="72">
        <v>8.6293334399999999</v>
      </c>
      <c r="G59" s="914">
        <f t="shared" si="11"/>
        <v>381.95483111112748</v>
      </c>
      <c r="H59" s="69">
        <f t="shared" si="12"/>
        <v>4.1700976091459341E-2</v>
      </c>
      <c r="I59" s="69"/>
      <c r="K59" s="66"/>
      <c r="L59" s="66"/>
      <c r="M59" s="66"/>
      <c r="N59" s="66"/>
    </row>
    <row r="60" spans="3:14" ht="15" customHeight="1">
      <c r="C60" s="683" t="str">
        <f>IF(Indice_index!$Z$1=1,"Diferenças de consolidação","Consolidation differences")</f>
        <v>Consolidation differences</v>
      </c>
      <c r="D60" s="72">
        <v>0.68004496999999731</v>
      </c>
      <c r="E60" s="72">
        <v>0.92513933000000037</v>
      </c>
      <c r="F60" s="72">
        <v>0.20789208000000001</v>
      </c>
      <c r="G60" s="914"/>
      <c r="H60" s="69"/>
      <c r="I60" s="69"/>
      <c r="K60" s="66"/>
      <c r="L60" s="66"/>
      <c r="M60" s="66"/>
      <c r="N60" s="66"/>
    </row>
    <row r="61" spans="3:14" ht="4.5" customHeight="1">
      <c r="C61" s="684"/>
      <c r="D61" s="72"/>
      <c r="E61" s="72"/>
      <c r="F61" s="72"/>
      <c r="G61" s="913"/>
      <c r="H61" s="69"/>
      <c r="I61" s="69"/>
      <c r="K61" s="66"/>
      <c r="L61" s="66"/>
      <c r="M61" s="66"/>
      <c r="N61" s="66"/>
    </row>
    <row r="62" spans="3:14" s="278" customFormat="1" ht="15" customHeight="1">
      <c r="C62" s="916" t="str">
        <f>IF(Indice_index!$Z$1=1,"Receita efetiva","Effective Revenue")</f>
        <v>Effective Revenue</v>
      </c>
      <c r="D62" s="903">
        <f>+D9+D24+D28</f>
        <v>50074.131406090004</v>
      </c>
      <c r="E62" s="903">
        <f>+E9+E24+E28</f>
        <v>16399.730056680004</v>
      </c>
      <c r="F62" s="903">
        <f>+F9+F24+F28</f>
        <v>19743.927169930001</v>
      </c>
      <c r="G62" s="917">
        <f>IFERROR((F62-E62)/E62*100,"-")</f>
        <v>20.391781460377299</v>
      </c>
      <c r="H62" s="917"/>
      <c r="I62" s="281"/>
      <c r="J62" s="282"/>
      <c r="K62" s="274"/>
      <c r="L62" s="274"/>
      <c r="M62" s="274"/>
      <c r="N62" s="274"/>
    </row>
    <row r="63" spans="3:14" ht="15" customHeight="1">
      <c r="C63" s="918" t="str">
        <f>IF(Indice_index!$Z$1=1,"   Por memória:","   Memo item:")</f>
        <v xml:space="preserve">   Memo item:</v>
      </c>
      <c r="D63" s="919"/>
      <c r="E63" s="919"/>
      <c r="F63" s="919"/>
      <c r="G63" s="908"/>
      <c r="H63" s="67"/>
      <c r="I63" s="67"/>
      <c r="J63" s="75"/>
      <c r="K63" s="66"/>
      <c r="L63" s="66"/>
      <c r="M63" s="66"/>
      <c r="N63" s="66"/>
    </row>
    <row r="64" spans="3:14" ht="15" customHeight="1">
      <c r="C64" s="683" t="str">
        <f>IF(Indice_index!$Z$1=1,"Ativos Financeiros","Financial assets")</f>
        <v>Financial assets</v>
      </c>
      <c r="D64" s="72">
        <f>SUM(D65:D66)</f>
        <v>643.73246323000001</v>
      </c>
      <c r="E64" s="72">
        <f>SUM(E65:E66)</f>
        <v>87.724946770000003</v>
      </c>
      <c r="F64" s="72">
        <f>SUM(F65:F66)</f>
        <v>146.27081183000001</v>
      </c>
      <c r="G64" s="913">
        <f>IF(IFERROR((F64-E64)/E64*100,"")&gt;500,"-",IFERROR((F64-E64)/E64*100,""))</f>
        <v>66.737988697214462</v>
      </c>
      <c r="H64" s="67"/>
      <c r="I64" s="67"/>
      <c r="J64" s="68"/>
      <c r="K64" s="66"/>
      <c r="L64" s="66"/>
      <c r="M64" s="66"/>
      <c r="N64" s="66"/>
    </row>
    <row r="65" spans="3:14" ht="15" customHeight="1">
      <c r="C65" s="915" t="str">
        <f>IF(Indice_index!$Z$1=1,"Alienação de partes sociais de empresas","Divestment of company shares")</f>
        <v>Divestment of company shares</v>
      </c>
      <c r="D65" s="920">
        <v>1.3794E-4</v>
      </c>
      <c r="E65" s="920">
        <v>0</v>
      </c>
      <c r="F65" s="920">
        <v>0</v>
      </c>
      <c r="G65" s="913" t="str">
        <f>IF(IFERROR((F65-E65)/E65*100,"")&gt;500,"-",IFERROR((F65-E65)/E65*100,""))</f>
        <v>-</v>
      </c>
      <c r="H65" s="67"/>
      <c r="I65" s="67"/>
      <c r="J65" s="76"/>
      <c r="K65" s="66"/>
      <c r="L65" s="66"/>
      <c r="M65" s="66"/>
      <c r="N65" s="66"/>
    </row>
    <row r="66" spans="3:14" ht="15" customHeight="1">
      <c r="C66" s="915" t="str">
        <f>IF(Indice_index!$Z$1=1,"Outros ativos","Other assets")</f>
        <v>Other assets</v>
      </c>
      <c r="D66" s="921">
        <v>643.73232529000006</v>
      </c>
      <c r="E66" s="921">
        <v>87.724946770000003</v>
      </c>
      <c r="F66" s="921">
        <v>146.27081183000001</v>
      </c>
      <c r="G66" s="913">
        <f>IF(IFERROR((F66-E66)/E66*100,"")&gt;500,"-",IFERROR((F66-E66)/E66*100,""))</f>
        <v>66.737988697214462</v>
      </c>
      <c r="H66" s="67"/>
      <c r="I66" s="67"/>
      <c r="J66" s="68"/>
      <c r="K66" s="66"/>
      <c r="L66" s="66"/>
      <c r="M66" s="66"/>
      <c r="N66" s="66"/>
    </row>
    <row r="67" spans="3:14" ht="15" customHeight="1">
      <c r="C67" s="683" t="str">
        <f>IF(Indice_index!$Z$1=1,"Passivos Financeiros","Financial liabilities")</f>
        <v>Financial liabilities</v>
      </c>
      <c r="D67" s="921">
        <v>63645.434409809997</v>
      </c>
      <c r="E67" s="921">
        <v>31038.50270243</v>
      </c>
      <c r="F67" s="921">
        <v>26494.616763729999</v>
      </c>
      <c r="G67" s="913">
        <f>IF(IFERROR((F67-E67)/E67*100,"")&gt;500,"-",IFERROR((F67-E67)/E67*100,""))</f>
        <v>-14.639513968385662</v>
      </c>
      <c r="H67" s="67"/>
      <c r="I67" s="67"/>
      <c r="J67" s="76"/>
      <c r="K67" s="66"/>
      <c r="L67" s="66"/>
      <c r="M67" s="66"/>
      <c r="N67" s="66"/>
    </row>
    <row r="68" spans="3:14" ht="15" customHeight="1">
      <c r="C68" s="904" t="str">
        <f>IF(Indice_index!$Z$1=1,"Saldo da Gerência Anterior","Previous management balance")</f>
        <v>Previous management balance</v>
      </c>
      <c r="D68" s="905">
        <v>-7.0201009699999997</v>
      </c>
      <c r="E68" s="905">
        <v>0</v>
      </c>
      <c r="F68" s="905">
        <v>0</v>
      </c>
      <c r="G68" s="906" t="str">
        <f>IF(IFERROR((F68-E68)/E68*100,"")&gt;500,"-",IFERROR((F68-E68)/E68*100,""))</f>
        <v>-</v>
      </c>
      <c r="H68" s="907"/>
      <c r="I68" s="67"/>
      <c r="K68" s="66"/>
      <c r="L68" s="66"/>
      <c r="M68" s="66"/>
      <c r="N68" s="66"/>
    </row>
    <row r="69" spans="3:14" ht="4.5" customHeight="1">
      <c r="C69" s="683"/>
      <c r="D69" s="683"/>
      <c r="E69" s="72"/>
      <c r="F69" s="72"/>
      <c r="G69" s="908"/>
      <c r="H69" s="67"/>
      <c r="I69" s="67"/>
      <c r="J69" s="68"/>
      <c r="K69" s="66"/>
      <c r="L69" s="66"/>
      <c r="M69" s="66"/>
      <c r="N69" s="66"/>
    </row>
    <row r="70" spans="3:14" ht="15" customHeight="1">
      <c r="C70" s="833" t="str">
        <f>IF(Indice_index!$Z$1=1,"Notas:","Notes:")</f>
        <v>Notes:</v>
      </c>
      <c r="D70" s="833"/>
      <c r="E70" s="77"/>
      <c r="F70" s="909"/>
      <c r="G70" s="77"/>
      <c r="H70" s="77"/>
      <c r="I70" s="77"/>
    </row>
    <row r="71" spans="3:14" ht="15" customHeight="1">
      <c r="C71" s="1683" t="str">
        <f>IF(Indice_index!$Z$1=1,"Valores registados no Sistema Central de Receitas (SCR).","Amounts accounted for on the Central Revenue System (SCR).")</f>
        <v>Amounts accounted for on the Central Revenue System (SCR).</v>
      </c>
      <c r="D71" s="1683"/>
      <c r="E71" s="1683"/>
      <c r="F71" s="1683"/>
      <c r="G71" s="1683"/>
      <c r="H71" s="1683"/>
      <c r="I71" s="77"/>
    </row>
    <row r="72" spans="3:14" ht="30" customHeight="1">
      <c r="C72" s="168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Negative net collections or inferior than those of the previous month result from reversals or reimbursement and/or restitution payments.</v>
      </c>
      <c r="D72" s="1684"/>
      <c r="E72" s="1684"/>
      <c r="F72" s="1684"/>
      <c r="G72" s="1684"/>
      <c r="H72" s="1684"/>
      <c r="I72" s="78"/>
    </row>
    <row r="73" spans="3:14" ht="4.5" customHeight="1">
      <c r="C73" s="425"/>
      <c r="D73" s="425"/>
    </row>
    <row r="74" spans="3:14" ht="15" customHeight="1">
      <c r="C74" s="684" t="str">
        <f>IF(Indice_index!$Z$1=1,"Fonte: Direção-Geral do Orçamento","Source: Budget General Directorate")</f>
        <v>Source: Budget General Directorate</v>
      </c>
      <c r="D74" s="684"/>
      <c r="J74" s="75"/>
    </row>
    <row r="75" spans="3:14" ht="11.25" customHeight="1">
      <c r="C75" s="639"/>
      <c r="D75" s="639"/>
      <c r="E75" s="639"/>
      <c r="F75" s="639"/>
      <c r="G75" s="639"/>
      <c r="H75" s="639"/>
      <c r="I75" s="79"/>
      <c r="J75" s="75"/>
    </row>
    <row r="76" spans="3:14">
      <c r="F76" s="383"/>
    </row>
    <row r="96" spans="5:5">
      <c r="E96" s="80"/>
    </row>
  </sheetData>
  <mergeCells count="4">
    <mergeCell ref="E6:F6"/>
    <mergeCell ref="G6:H6"/>
    <mergeCell ref="C71:H71"/>
    <mergeCell ref="C72:H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F6 H6 G7 G6 H7 D6" unlockedFormula="1"/>
    <ignoredError sqref="D29:F29 E35:F35 D39:F39 E52:F52 E54:F54 E63:F63 F62 D45:F45 D52 D64:E64 F64 D54" formulaRange="1"/>
    <ignoredError sqref="D7" numberStoredAsText="1" unlockedFormula="1"/>
    <ignoredError sqref="E7:F7" numberStoredAsText="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U128"/>
  <sheetViews>
    <sheetView showGridLines="0" zoomScaleNormal="100" zoomScaleSheetLayoutView="100" workbookViewId="0">
      <selection activeCell="B2" sqref="B2"/>
    </sheetView>
  </sheetViews>
  <sheetFormatPr defaultColWidth="9.140625" defaultRowHeight="12"/>
  <cols>
    <col min="1" max="1" width="2.42578125" style="53" customWidth="1"/>
    <col min="2" max="2" width="4.42578125" style="53" customWidth="1"/>
    <col min="3" max="3" width="40" style="63" customWidth="1"/>
    <col min="4" max="5" width="9.42578125" style="63" customWidth="1"/>
    <col min="6" max="8" width="9.42578125" style="53" customWidth="1"/>
    <col min="9" max="12" width="8.5703125" style="53" customWidth="1"/>
    <col min="13" max="13" width="9.5703125" style="50" bestFit="1" customWidth="1"/>
    <col min="14" max="15" width="9.140625" style="50" customWidth="1"/>
    <col min="16" max="16384" width="9.140625" style="53"/>
  </cols>
  <sheetData>
    <row r="1" spans="2:21" s="50" customFormat="1" ht="15" customHeight="1">
      <c r="B1" s="49"/>
      <c r="C1" s="49"/>
      <c r="D1" s="49"/>
    </row>
    <row r="2" spans="2:21" ht="38.25" customHeight="1">
      <c r="B2" s="8"/>
      <c r="C2" s="1690" t="str">
        <f>IF(Indice_index!$Z$1=1,"9 - Execução Orçamental dos Serviços e Fundos Autónomos 
(inclui Entidades Públicas Reclassificadas da Administração Central)","9 - Autonomous Services and Funds Budget Execution (including State Owned Enterprises)")</f>
        <v>9 - Autonomous Services and Funds Budget Execution (including State Owned Enterprises)</v>
      </c>
      <c r="D2" s="1690"/>
      <c r="E2" s="1690"/>
      <c r="F2" s="1690"/>
      <c r="G2" s="1690"/>
      <c r="H2" s="1690"/>
      <c r="M2" s="81"/>
      <c r="O2" s="81"/>
    </row>
    <row r="3" spans="2:21" ht="15" customHeight="1">
      <c r="C3" s="54"/>
      <c r="D3" s="54"/>
      <c r="E3" s="82"/>
      <c r="M3" s="81"/>
    </row>
    <row r="4" spans="2:21" ht="15" customHeight="1">
      <c r="C4" s="53"/>
      <c r="D4" s="53"/>
    </row>
    <row r="5" spans="2:21" s="272" customFormat="1" ht="15" customHeight="1">
      <c r="C5" s="681" t="str">
        <f>+'5 - Conta AC + SS'!C5</f>
        <v>Period: January to May</v>
      </c>
      <c r="D5" s="681"/>
      <c r="E5" s="817"/>
      <c r="F5" s="817"/>
      <c r="H5" s="809" t="str">
        <f>IF(Indice_index!$Z$1=1,"€ Milhões","€ Millions")</f>
        <v>€ Millions</v>
      </c>
      <c r="I5" s="251"/>
      <c r="M5" s="249"/>
      <c r="N5" s="249"/>
      <c r="O5" s="249"/>
    </row>
    <row r="6" spans="2:21" ht="30.75" customHeight="1">
      <c r="C6" s="810"/>
      <c r="D6" s="811" t="str">
        <f>IF(Indice_index!$Z$1=1,"CGE","Final execution")</f>
        <v>Final execution</v>
      </c>
      <c r="E6" s="1691" t="str">
        <f>IF(Indice_index!$Z$1=1,"Execução Acumulada","Accumulated Execution")</f>
        <v>Accumulated Execution</v>
      </c>
      <c r="F6" s="1691"/>
      <c r="G6" s="1676" t="str">
        <f>IF(Indice_index!$Z$1=1,"Variação Homóloga Acumulada","YOY Change Rate")</f>
        <v>YOY Change Rate</v>
      </c>
      <c r="H6" s="1677"/>
      <c r="I6" s="97"/>
      <c r="K6" s="83"/>
      <c r="L6" s="83"/>
      <c r="M6" s="84"/>
      <c r="N6" s="85"/>
      <c r="O6" s="56"/>
      <c r="P6" s="56"/>
      <c r="Q6" s="85"/>
      <c r="R6" s="85"/>
      <c r="S6" s="1692"/>
      <c r="T6" s="1692"/>
      <c r="U6" s="86"/>
    </row>
    <row r="7" spans="2:21" ht="30.75" customHeight="1">
      <c r="C7" s="804"/>
      <c r="D7" s="813" t="s">
        <v>68</v>
      </c>
      <c r="E7" s="814" t="s">
        <v>68</v>
      </c>
      <c r="F7" s="814" t="s">
        <v>75</v>
      </c>
      <c r="G7" s="815" t="str">
        <f>IF(Indice_index!$Z$1=1,"Relativa (%)","Relative change (%)")</f>
        <v>Relative change (%)</v>
      </c>
      <c r="H7" s="816" t="str">
        <f>IF(Indice_index!$Z$1=1,"Contributo VHA (p.p.)","YOY Change Rate Contrib. (p.p.)")</f>
        <v>YOY Change Rate Contrib. (p.p.)</v>
      </c>
      <c r="I7" s="97"/>
      <c r="K7" s="83"/>
      <c r="L7" s="83"/>
      <c r="M7" s="84"/>
      <c r="N7" s="85"/>
      <c r="O7" s="56"/>
      <c r="P7" s="56"/>
      <c r="Q7" s="85"/>
      <c r="R7" s="85"/>
      <c r="S7" s="229"/>
      <c r="T7" s="229"/>
      <c r="U7" s="86"/>
    </row>
    <row r="8" spans="2:21" s="87" customFormat="1" ht="4.5" customHeight="1">
      <c r="C8" s="818"/>
      <c r="D8" s="818"/>
      <c r="E8" s="112"/>
      <c r="F8" s="112"/>
      <c r="G8" s="112"/>
      <c r="H8" s="112"/>
      <c r="I8" s="97"/>
      <c r="J8" s="88"/>
    </row>
    <row r="9" spans="2:21" s="272" customFormat="1" ht="15" customHeight="1">
      <c r="C9" s="819" t="str">
        <f>IF(Indice_index!$Z$1=1,"Receita corrente","Current revenue")</f>
        <v>Current revenue</v>
      </c>
      <c r="D9" s="819">
        <f>SUM(D10:D21)-D10-D15</f>
        <v>33002.916678409994</v>
      </c>
      <c r="E9" s="820">
        <f>SUM(E10:E21)-E10-E15</f>
        <v>12261.598541220001</v>
      </c>
      <c r="F9" s="820">
        <f>SUM(F10:F21)-F10-F15</f>
        <v>12678.719969220003</v>
      </c>
      <c r="G9" s="283">
        <f>IF(IFERROR((F9-E9)/E9*100,"")&gt;500,"-",IFERROR((F9-E9)/E9*100,""))</f>
        <v>3.4018519412273922</v>
      </c>
      <c r="H9" s="279">
        <f t="shared" ref="H9:H18" si="0">IFERROR((F9-E9)/$E$32*100,"-")</f>
        <v>3.1728976904895325</v>
      </c>
      <c r="I9" s="536"/>
      <c r="J9" s="284"/>
      <c r="K9" s="284"/>
      <c r="L9" s="285"/>
      <c r="M9" s="285"/>
      <c r="N9" s="285"/>
    </row>
    <row r="10" spans="2:21" ht="15" customHeight="1">
      <c r="C10" s="821" t="str">
        <f>IF(Indice_index!$Z$1=1,"Receita Fiscal","Tax")</f>
        <v>Tax</v>
      </c>
      <c r="D10" s="221">
        <f>D11+D12</f>
        <v>567.70099941000012</v>
      </c>
      <c r="E10" s="114">
        <f>E11+E12</f>
        <v>239.79760358000004</v>
      </c>
      <c r="F10" s="114">
        <f>F11+F12</f>
        <v>269.99127561</v>
      </c>
      <c r="G10" s="222">
        <f t="shared" ref="G10:G28" si="1">IF(IFERROR((F10-E10)/E10*100,"")&gt;500,"-",IFERROR((F10-E10)/E10*100,""))</f>
        <v>12.591315167137148</v>
      </c>
      <c r="H10" s="222">
        <f t="shared" si="0"/>
        <v>0.22967276629908534</v>
      </c>
      <c r="I10" s="334"/>
      <c r="J10" s="89"/>
      <c r="L10" s="90"/>
      <c r="M10" s="90"/>
      <c r="N10" s="90"/>
      <c r="O10" s="53"/>
    </row>
    <row r="11" spans="2:21" ht="15" customHeight="1">
      <c r="C11" s="803" t="str">
        <f>IF(Indice_index!$Z$1=1,"Impostos diretos","Direct taxes")</f>
        <v>Direct taxes</v>
      </c>
      <c r="D11" s="221">
        <v>1.5595100000000001E-3</v>
      </c>
      <c r="E11" s="223">
        <v>0</v>
      </c>
      <c r="F11" s="223">
        <v>0</v>
      </c>
      <c r="G11" s="222" t="str">
        <f t="shared" si="1"/>
        <v>-</v>
      </c>
      <c r="H11" s="222">
        <f t="shared" si="0"/>
        <v>0</v>
      </c>
      <c r="I11" s="334"/>
      <c r="J11" s="89"/>
      <c r="K11" s="90"/>
      <c r="L11" s="90"/>
      <c r="M11" s="90"/>
      <c r="N11" s="90"/>
      <c r="O11" s="53"/>
    </row>
    <row r="12" spans="2:21" ht="15" customHeight="1">
      <c r="C12" s="803" t="str">
        <f>IF(Indice_index!$Z$1=1,"Impostos indiretos","Indirect taxes")</f>
        <v>Indirect taxes</v>
      </c>
      <c r="D12" s="221">
        <v>567.69943990000013</v>
      </c>
      <c r="E12" s="223">
        <v>239.79760358000004</v>
      </c>
      <c r="F12" s="223">
        <v>269.99127561</v>
      </c>
      <c r="G12" s="222">
        <f t="shared" si="1"/>
        <v>12.591315167137148</v>
      </c>
      <c r="H12" s="222">
        <f t="shared" si="0"/>
        <v>0.22967276629908534</v>
      </c>
      <c r="I12" s="334"/>
      <c r="J12" s="89"/>
      <c r="K12" s="90"/>
      <c r="L12" s="90"/>
      <c r="M12" s="90"/>
      <c r="N12" s="90"/>
      <c r="O12" s="53"/>
    </row>
    <row r="13" spans="2:21" ht="15" customHeight="1">
      <c r="C13" s="821" t="str">
        <f>IF(Indice_index!$Z$1=1,"Contribuições para Segurança Social, CGA e ADSE","Social security, CGA and ADSE contributions")</f>
        <v>Social security, CGA and ADSE contributions</v>
      </c>
      <c r="D13" s="221">
        <v>4185.2423433499998</v>
      </c>
      <c r="E13" s="223">
        <v>1529.1178567699999</v>
      </c>
      <c r="F13" s="223">
        <v>1453.7277913599996</v>
      </c>
      <c r="G13" s="222">
        <f t="shared" si="1"/>
        <v>-4.9302978888264963</v>
      </c>
      <c r="H13" s="222">
        <f t="shared" si="0"/>
        <v>-0.57346601821003396</v>
      </c>
      <c r="I13" s="334"/>
      <c r="J13" s="89"/>
      <c r="K13" s="90"/>
      <c r="L13" s="90"/>
      <c r="M13" s="90"/>
      <c r="N13" s="90"/>
      <c r="O13" s="53"/>
    </row>
    <row r="14" spans="2:21" ht="15" customHeight="1">
      <c r="C14" s="821" t="str">
        <f>IF(Indice_index!$Z$1=1,"Taxas, Multas e Outras Penalidades","Taxes, fines and other penalties")</f>
        <v>Taxes, fines and other penalties</v>
      </c>
      <c r="D14" s="221">
        <v>2476.7495912099989</v>
      </c>
      <c r="E14" s="223">
        <v>761.28742584000054</v>
      </c>
      <c r="F14" s="223">
        <v>849.53082152000002</v>
      </c>
      <c r="G14" s="222">
        <f t="shared" si="1"/>
        <v>11.591337605850009</v>
      </c>
      <c r="H14" s="222">
        <f t="shared" si="0"/>
        <v>0.67123683311235416</v>
      </c>
      <c r="I14" s="334"/>
      <c r="J14" s="89"/>
      <c r="K14" s="90"/>
      <c r="L14" s="90"/>
      <c r="M14" s="90"/>
      <c r="N14" s="90"/>
      <c r="O14" s="53"/>
    </row>
    <row r="15" spans="2:21" ht="15" customHeight="1">
      <c r="C15" s="821" t="str">
        <f>IF(Indice_index!$Z$1=1,"Transferências Correntes","Current transfers")</f>
        <v>Current transfers</v>
      </c>
      <c r="D15" s="221">
        <f>SUM(D16:D19)</f>
        <v>22582.773708600002</v>
      </c>
      <c r="E15" s="221">
        <f>SUM(E16:E19)</f>
        <v>8638.1716819599988</v>
      </c>
      <c r="F15" s="221">
        <f>SUM(F16:F19)</f>
        <v>8701.8859292699981</v>
      </c>
      <c r="G15" s="222">
        <f t="shared" si="1"/>
        <v>0.73758949990610279</v>
      </c>
      <c r="H15" s="222">
        <f t="shared" si="0"/>
        <v>0.48465212902266608</v>
      </c>
      <c r="I15" s="334"/>
      <c r="J15" s="91"/>
      <c r="K15" s="92"/>
      <c r="L15" s="90"/>
      <c r="M15" s="90"/>
      <c r="N15" s="90"/>
      <c r="O15" s="53"/>
    </row>
    <row r="16" spans="2:21" ht="15" customHeight="1">
      <c r="C16" s="803" t="str">
        <f>IF(Indice_index!$Z$1=1,"Administração Central","Central Administration")</f>
        <v>Central Administration</v>
      </c>
      <c r="D16" s="221">
        <v>19688.556962950002</v>
      </c>
      <c r="E16" s="114">
        <v>7723.9548729099997</v>
      </c>
      <c r="F16" s="114">
        <v>7658.1142957899983</v>
      </c>
      <c r="G16" s="222">
        <f t="shared" si="1"/>
        <v>-0.85242053071700519</v>
      </c>
      <c r="H16" s="222">
        <f t="shared" si="0"/>
        <v>-0.50082638066857899</v>
      </c>
      <c r="I16" s="334"/>
      <c r="J16" s="91"/>
      <c r="K16" s="90"/>
      <c r="L16" s="90"/>
      <c r="M16" s="90"/>
      <c r="N16" s="90"/>
      <c r="O16" s="53"/>
    </row>
    <row r="17" spans="3:15" ht="15" customHeight="1">
      <c r="C17" s="822" t="str">
        <f>IF(Indice_index!$Z$1=1,"Outros subsectores das AP","Other General Government subsectors")</f>
        <v>Other General Government subsectors</v>
      </c>
      <c r="D17" s="221">
        <v>1953.2891190800001</v>
      </c>
      <c r="E17" s="223">
        <v>640.24123419999978</v>
      </c>
      <c r="F17" s="223">
        <v>699.68351141000005</v>
      </c>
      <c r="G17" s="222">
        <f t="shared" si="1"/>
        <v>9.2843562761581797</v>
      </c>
      <c r="H17" s="222">
        <f t="shared" si="0"/>
        <v>0.452156737622809</v>
      </c>
      <c r="I17" s="334"/>
      <c r="J17" s="91"/>
      <c r="K17" s="90"/>
      <c r="L17" s="90"/>
      <c r="M17" s="90"/>
      <c r="N17" s="90"/>
      <c r="O17" s="53"/>
    </row>
    <row r="18" spans="3:15" ht="15" customHeight="1">
      <c r="C18" s="822" t="str">
        <f>IF(Indice_index!$Z$1=1,"União Europeia","European Union")</f>
        <v>European Union</v>
      </c>
      <c r="D18" s="221">
        <v>866.98542303000022</v>
      </c>
      <c r="E18" s="223">
        <v>247.45569329000006</v>
      </c>
      <c r="F18" s="223">
        <v>311.8490250399999</v>
      </c>
      <c r="G18" s="222">
        <f t="shared" si="1"/>
        <v>26.02216618816507</v>
      </c>
      <c r="H18" s="222">
        <f t="shared" si="0"/>
        <v>0.48981768827397593</v>
      </c>
      <c r="I18" s="334"/>
      <c r="J18" s="91"/>
      <c r="K18" s="90"/>
      <c r="L18" s="90"/>
      <c r="M18" s="90"/>
      <c r="N18" s="90"/>
      <c r="O18" s="53"/>
    </row>
    <row r="19" spans="3:15" ht="15" customHeight="1">
      <c r="C19" s="822" t="str">
        <f>IF(Indice_index!$Z$1=1,"Outras transferências","Other transfers")</f>
        <v>Other transfers</v>
      </c>
      <c r="D19" s="823">
        <v>73.942203540000037</v>
      </c>
      <c r="E19" s="223">
        <v>26.519881559999988</v>
      </c>
      <c r="F19" s="223">
        <v>32.239097029999925</v>
      </c>
      <c r="G19" s="222">
        <f t="shared" si="1"/>
        <v>21.565765507136529</v>
      </c>
      <c r="H19" s="222">
        <f>IFERROR((F19-E19)/$E$32*100,"-")</f>
        <v>4.3504083794454959E-2</v>
      </c>
      <c r="I19" s="334"/>
      <c r="J19" s="91"/>
      <c r="K19" s="90"/>
      <c r="L19" s="90"/>
      <c r="M19" s="90"/>
      <c r="N19" s="90"/>
      <c r="O19" s="53"/>
    </row>
    <row r="20" spans="3:15" ht="15" customHeight="1">
      <c r="C20" s="821" t="str">
        <f>IF(Indice_index!$Z$1=1,"Outras Receitas Correntes","Other current revenue")</f>
        <v>Other current revenue</v>
      </c>
      <c r="D20" s="221">
        <v>3150.4906862000016</v>
      </c>
      <c r="E20" s="223">
        <v>1091.7728327299992</v>
      </c>
      <c r="F20" s="223">
        <v>1398.191460020003</v>
      </c>
      <c r="G20" s="222">
        <f t="shared" si="1"/>
        <v>28.066152417788054</v>
      </c>
      <c r="H20" s="222">
        <f>IFERROR((F20-E20)/$E$32*100,"-")</f>
        <v>2.3308199713283986</v>
      </c>
      <c r="I20" s="334"/>
      <c r="J20" s="91"/>
      <c r="K20" s="90"/>
      <c r="L20" s="90"/>
      <c r="M20" s="90"/>
      <c r="N20" s="90"/>
      <c r="O20" s="53"/>
    </row>
    <row r="21" spans="3:15" ht="15" customHeight="1">
      <c r="C21" s="791" t="str">
        <f>IF(Indice_index!$Z$1=1,"Diferenças de consolidação","Consolidation differences")</f>
        <v>Consolidation differences</v>
      </c>
      <c r="D21" s="221">
        <v>39.959349639997612</v>
      </c>
      <c r="E21" s="223">
        <v>1.4511403400000265</v>
      </c>
      <c r="F21" s="223">
        <v>5.3926914399998322</v>
      </c>
      <c r="G21" s="222"/>
      <c r="H21" s="222"/>
      <c r="I21" s="334"/>
      <c r="J21" s="91"/>
      <c r="K21" s="89"/>
      <c r="L21" s="90"/>
      <c r="M21" s="90"/>
      <c r="N21" s="90"/>
      <c r="O21" s="53"/>
    </row>
    <row r="22" spans="3:15" s="272" customFormat="1" ht="15" customHeight="1">
      <c r="C22" s="819" t="str">
        <f>IF(Indice_index!$Z$1=1,"Receita de capital","Capital revenue")</f>
        <v>Capital revenue</v>
      </c>
      <c r="D22" s="286">
        <f>SUM(D23:D30)-D24</f>
        <v>3034.4154667399998</v>
      </c>
      <c r="E22" s="286">
        <f>SUM(E23:E30)-E24</f>
        <v>884.78904166000007</v>
      </c>
      <c r="F22" s="286">
        <f>SUM(F23:F30)-F24</f>
        <v>957.98992748000001</v>
      </c>
      <c r="G22" s="286">
        <f t="shared" si="1"/>
        <v>8.2732586383149407</v>
      </c>
      <c r="H22" s="286">
        <f t="shared" ref="H22:H29" si="2">IFERROR((F22-E22)/$E$32*100,"-")</f>
        <v>0.55681369013740656</v>
      </c>
      <c r="I22" s="536"/>
      <c r="J22" s="284"/>
      <c r="K22" s="284"/>
      <c r="L22" s="285"/>
      <c r="M22" s="285"/>
      <c r="N22" s="285"/>
    </row>
    <row r="23" spans="3:15" ht="15" customHeight="1">
      <c r="C23" s="821" t="str">
        <f>IF(Indice_index!$Z$1=1,"Venda de bens de investimento","Sale of investment goods")</f>
        <v>Sale of investment goods</v>
      </c>
      <c r="D23" s="223">
        <v>117.54567847</v>
      </c>
      <c r="E23" s="223">
        <v>34.752348130000001</v>
      </c>
      <c r="F23" s="223">
        <v>30.973976330000006</v>
      </c>
      <c r="G23" s="223">
        <f t="shared" si="1"/>
        <v>-10.872277711612561</v>
      </c>
      <c r="H23" s="223">
        <f t="shared" si="2"/>
        <v>-2.8740760731262884E-2</v>
      </c>
      <c r="I23" s="334"/>
      <c r="J23" s="89"/>
      <c r="K23" s="92"/>
      <c r="L23" s="90"/>
      <c r="M23" s="90"/>
      <c r="N23" s="90"/>
      <c r="O23" s="53"/>
    </row>
    <row r="24" spans="3:15" ht="15" customHeight="1">
      <c r="C24" s="821" t="str">
        <f>IF(Indice_index!$Z$1=1,"Transferências de capital","Capital transfers")</f>
        <v>Capital transfers</v>
      </c>
      <c r="D24" s="223">
        <f>SUM(D25:D28)</f>
        <v>2891.6004543500003</v>
      </c>
      <c r="E24" s="223">
        <f>SUM(E25:E28)</f>
        <v>847.35924917000011</v>
      </c>
      <c r="F24" s="223">
        <f>SUM(F25:F28)</f>
        <v>919.73309526000003</v>
      </c>
      <c r="G24" s="223">
        <f t="shared" si="1"/>
        <v>8.5411053411986799</v>
      </c>
      <c r="H24" s="223">
        <f t="shared" si="2"/>
        <v>0.55052268643174185</v>
      </c>
      <c r="I24" s="334"/>
      <c r="J24" s="89"/>
      <c r="K24" s="92"/>
      <c r="L24" s="90"/>
      <c r="M24" s="90"/>
      <c r="N24" s="90"/>
      <c r="O24" s="53"/>
    </row>
    <row r="25" spans="3:15" ht="15" customHeight="1">
      <c r="C25" s="803" t="str">
        <f>IF(Indice_index!$Z$1=1,"Administração Central","Central Administration")</f>
        <v>Central Administration</v>
      </c>
      <c r="D25" s="223">
        <v>1898.9395623700002</v>
      </c>
      <c r="E25" s="223">
        <v>363.18689576000003</v>
      </c>
      <c r="F25" s="223">
        <v>379.03289214</v>
      </c>
      <c r="G25" s="223">
        <f t="shared" si="1"/>
        <v>4.3630418842180019</v>
      </c>
      <c r="H25" s="223">
        <f t="shared" si="2"/>
        <v>0.12053498560042122</v>
      </c>
      <c r="I25" s="334"/>
      <c r="J25" s="89"/>
      <c r="K25" s="90"/>
      <c r="L25" s="90"/>
      <c r="M25" s="90"/>
      <c r="N25" s="90"/>
      <c r="O25" s="53"/>
    </row>
    <row r="26" spans="3:15" ht="15" customHeight="1">
      <c r="C26" s="803" t="str">
        <f>IF(Indice_index!$Z$1=1,"Outros subsectores das AP","Other General Government subsectors")</f>
        <v>Other General Government subsectors</v>
      </c>
      <c r="D26" s="223">
        <v>10.450267329999999</v>
      </c>
      <c r="E26" s="223">
        <v>3.9224571599999996</v>
      </c>
      <c r="F26" s="223">
        <v>5.3143585099999999</v>
      </c>
      <c r="G26" s="223">
        <f t="shared" si="1"/>
        <v>35.485444282073445</v>
      </c>
      <c r="H26" s="223">
        <f t="shared" si="2"/>
        <v>1.0587709674805391E-2</v>
      </c>
      <c r="I26" s="334"/>
      <c r="J26" s="89"/>
      <c r="K26" s="93"/>
      <c r="L26" s="93"/>
      <c r="M26" s="90"/>
      <c r="N26" s="90"/>
      <c r="O26" s="53"/>
    </row>
    <row r="27" spans="3:15" ht="15" customHeight="1">
      <c r="C27" s="803" t="str">
        <f>IF(Indice_index!$Z$1=1,"União Europeia","European Union")</f>
        <v>European Union</v>
      </c>
      <c r="D27" s="223">
        <v>765.82299568000008</v>
      </c>
      <c r="E27" s="223">
        <v>352.03915053000003</v>
      </c>
      <c r="F27" s="223">
        <v>417.10386367999985</v>
      </c>
      <c r="G27" s="223">
        <f t="shared" si="1"/>
        <v>18.48223785679631</v>
      </c>
      <c r="H27" s="223">
        <f t="shared" si="2"/>
        <v>0.49492465317796436</v>
      </c>
      <c r="I27" s="334"/>
      <c r="J27" s="89"/>
      <c r="K27" s="94"/>
      <c r="L27" s="90"/>
      <c r="M27" s="90"/>
      <c r="N27" s="90"/>
      <c r="O27" s="53"/>
    </row>
    <row r="28" spans="3:15" ht="15" customHeight="1">
      <c r="C28" s="803" t="str">
        <f>IF(Indice_index!$Z$1=1,"Outras transferências","Other transfers")</f>
        <v>Other transfers</v>
      </c>
      <c r="D28" s="223">
        <v>216.38762896999992</v>
      </c>
      <c r="E28" s="223">
        <v>128.21074571999998</v>
      </c>
      <c r="F28" s="223">
        <v>118.28198093000009</v>
      </c>
      <c r="G28" s="223">
        <f t="shared" si="1"/>
        <v>-7.7440972160659314</v>
      </c>
      <c r="H28" s="223">
        <f t="shared" si="2"/>
        <v>-7.5524662021449224E-2</v>
      </c>
      <c r="I28" s="334"/>
      <c r="J28" s="89"/>
      <c r="K28" s="90"/>
      <c r="L28" s="90"/>
      <c r="M28" s="90"/>
      <c r="N28" s="90"/>
      <c r="O28" s="53"/>
    </row>
    <row r="29" spans="3:15" ht="15" customHeight="1">
      <c r="C29" s="821" t="str">
        <f>IF(Indice_index!$Z$1=1,"Outras Receitas de Capital","Other capital revenue")</f>
        <v>Other capital revenue</v>
      </c>
      <c r="D29" s="223">
        <v>25.269333919999998</v>
      </c>
      <c r="E29" s="223">
        <v>2.6774443600000004</v>
      </c>
      <c r="F29" s="223">
        <v>7.2828558899999987</v>
      </c>
      <c r="G29" s="223">
        <f>IF(IFERROR((F29-E29)/E29*100,"")&gt;500,"-",IFERROR((F29-E29)/E29*100,""))</f>
        <v>172.00773987325724</v>
      </c>
      <c r="H29" s="223">
        <f t="shared" si="2"/>
        <v>3.5031764436927411E-2</v>
      </c>
      <c r="I29" s="334"/>
      <c r="J29" s="89"/>
      <c r="K29" s="90"/>
      <c r="L29" s="90"/>
      <c r="M29" s="90"/>
      <c r="N29" s="90"/>
      <c r="O29" s="53"/>
    </row>
    <row r="30" spans="3:15" ht="15" customHeight="1">
      <c r="C30" s="791" t="str">
        <f>IF(Indice_index!$Z$1=1,"Diferenças de consolidação","Consolidation differences")</f>
        <v>Consolidation differences</v>
      </c>
      <c r="D30" s="223">
        <v>0</v>
      </c>
      <c r="E30" s="223">
        <v>0</v>
      </c>
      <c r="F30" s="223">
        <v>0</v>
      </c>
      <c r="G30" s="223"/>
      <c r="H30" s="223"/>
      <c r="I30" s="334"/>
      <c r="J30" s="89"/>
      <c r="K30" s="89"/>
      <c r="L30" s="90"/>
      <c r="M30" s="90"/>
      <c r="N30" s="90"/>
      <c r="O30" s="53"/>
    </row>
    <row r="31" spans="3:15" ht="4.5" customHeight="1">
      <c r="C31" s="803"/>
      <c r="D31" s="803"/>
      <c r="E31" s="224"/>
      <c r="F31" s="224"/>
      <c r="G31" s="224"/>
      <c r="H31" s="224"/>
      <c r="I31" s="334"/>
      <c r="J31" s="89"/>
      <c r="K31" s="95"/>
      <c r="L31" s="90"/>
      <c r="M31" s="90"/>
      <c r="N31" s="90"/>
      <c r="O31" s="53"/>
    </row>
    <row r="32" spans="3:15" s="272" customFormat="1" ht="15" customHeight="1">
      <c r="C32" s="824" t="str">
        <f>IF(Indice_index!$Z$1=1,"Receita efetiva","Effective revenue")</f>
        <v>Effective revenue</v>
      </c>
      <c r="D32" s="824">
        <f>D9+D22</f>
        <v>36037.332145149994</v>
      </c>
      <c r="E32" s="825">
        <f>E9+E22</f>
        <v>13146.387582880001</v>
      </c>
      <c r="F32" s="825">
        <f>F9+F22</f>
        <v>13636.709896700002</v>
      </c>
      <c r="G32" s="825">
        <f t="shared" ref="G32" si="3">IFERROR(IF(E32=0,"-",(F32-E32)/E32*100),"-")</f>
        <v>3.72971138062693</v>
      </c>
      <c r="H32" s="825"/>
      <c r="I32" s="536"/>
      <c r="J32" s="284"/>
      <c r="K32" s="287"/>
      <c r="L32" s="285"/>
      <c r="M32" s="285"/>
      <c r="N32" s="285"/>
    </row>
    <row r="33" spans="3:15" ht="4.5" customHeight="1">
      <c r="C33" s="803"/>
      <c r="D33" s="803"/>
      <c r="E33" s="687"/>
      <c r="F33" s="687"/>
      <c r="G33" s="687"/>
      <c r="H33" s="826"/>
      <c r="I33" s="334"/>
      <c r="J33" s="89"/>
      <c r="K33" s="90"/>
      <c r="L33" s="90"/>
      <c r="M33" s="90"/>
      <c r="N33" s="90"/>
      <c r="O33" s="53"/>
    </row>
    <row r="34" spans="3:15" s="272" customFormat="1" ht="15" customHeight="1">
      <c r="C34" s="819" t="str">
        <f>IF(Indice_index!$Z$1=1,"Despesa corrente","Current Expenditure")</f>
        <v>Current Expenditure</v>
      </c>
      <c r="D34" s="819">
        <f>SUM(D35:D48)-D35-D41</f>
        <v>32992.402133680058</v>
      </c>
      <c r="E34" s="283">
        <f>SUM(E35:E48)-E35-E41</f>
        <v>11208.151599539968</v>
      </c>
      <c r="F34" s="283">
        <f>SUM(F35:F48)-F35-F41</f>
        <v>11597.574623739998</v>
      </c>
      <c r="G34" s="283">
        <f t="shared" ref="G34:G56" si="4">IF(IFERROR((F34-E34)/E34*100,"")&gt;500,"-",IFERROR((F34-E34)/E34*100,""))</f>
        <v>3.4744624993831632</v>
      </c>
      <c r="H34" s="283">
        <f>IFERROR((F34-E34)/$E$59*100,"-")</f>
        <v>3.112033717947631</v>
      </c>
      <c r="I34" s="536"/>
      <c r="J34" s="356"/>
      <c r="K34" s="284"/>
      <c r="L34" s="285"/>
      <c r="M34" s="285"/>
      <c r="N34" s="285"/>
    </row>
    <row r="35" spans="3:15" ht="15" customHeight="1">
      <c r="C35" s="821" t="str">
        <f>IF(Indice_index!$Z$1=1,"Despesas com o pessoal","Employees")</f>
        <v>Employees</v>
      </c>
      <c r="D35" s="223">
        <f t="shared" ref="D35" si="5">SUM(D36:D38)</f>
        <v>8526.7632711000097</v>
      </c>
      <c r="E35" s="223">
        <f t="shared" ref="E35:F35" si="6">SUM(E36:E38)</f>
        <v>3085.7472002399954</v>
      </c>
      <c r="F35" s="223">
        <f t="shared" si="6"/>
        <v>3138.29228728</v>
      </c>
      <c r="G35" s="223">
        <f t="shared" si="4"/>
        <v>1.7028318792906245</v>
      </c>
      <c r="H35" s="223">
        <f t="shared" ref="H35:H47" si="7">IFERROR((F35-E35)/$E$59*100,"-")</f>
        <v>0.41990861458924106</v>
      </c>
      <c r="I35" s="334"/>
      <c r="J35" s="357"/>
      <c r="K35" s="90"/>
      <c r="L35" s="90"/>
      <c r="M35" s="90"/>
      <c r="N35" s="90"/>
      <c r="O35" s="53"/>
    </row>
    <row r="36" spans="3:15" ht="15" customHeight="1">
      <c r="C36" s="803" t="str">
        <f>IF(Indice_index!$Z$1=1,"Remunerações Certas e Permanentes","Certain and permanent wages")</f>
        <v>Certain and permanent wages</v>
      </c>
      <c r="D36" s="223">
        <v>5947.1170754600089</v>
      </c>
      <c r="E36" s="223">
        <v>2114.752299959996</v>
      </c>
      <c r="F36" s="223">
        <v>2172.7496312300004</v>
      </c>
      <c r="G36" s="223">
        <f t="shared" si="4"/>
        <v>2.7425117954051434</v>
      </c>
      <c r="H36" s="223">
        <f t="shared" si="7"/>
        <v>0.46347965900065108</v>
      </c>
      <c r="I36" s="334"/>
      <c r="J36" s="357"/>
      <c r="K36" s="90"/>
      <c r="L36" s="90"/>
      <c r="M36" s="90"/>
      <c r="N36" s="90"/>
      <c r="O36" s="53"/>
    </row>
    <row r="37" spans="3:15" ht="15" customHeight="1">
      <c r="C37" s="803" t="str">
        <f>IF(Indice_index!$Z$1=1,"Abonos Variáveis ou Eventuais","Variable or contingent bonuses")</f>
        <v>Variable or contingent bonuses</v>
      </c>
      <c r="D37" s="223">
        <v>945.06633174000035</v>
      </c>
      <c r="E37" s="223">
        <v>391.06758478999978</v>
      </c>
      <c r="F37" s="223">
        <v>378.01663738999986</v>
      </c>
      <c r="G37" s="223">
        <f t="shared" si="4"/>
        <v>-3.3372613603370329</v>
      </c>
      <c r="H37" s="223">
        <f t="shared" si="7"/>
        <v>-0.10429529287179107</v>
      </c>
      <c r="I37" s="334"/>
      <c r="J37" s="357"/>
      <c r="K37" s="90"/>
      <c r="L37" s="90"/>
      <c r="M37" s="90"/>
      <c r="N37" s="90"/>
      <c r="O37" s="53"/>
    </row>
    <row r="38" spans="3:15" ht="15" customHeight="1">
      <c r="C38" s="803" t="str">
        <f>IF(Indice_index!$Z$1=1,"Segurança social","Social security")</f>
        <v>Social security</v>
      </c>
      <c r="D38" s="223">
        <v>1634.5798639000004</v>
      </c>
      <c r="E38" s="223">
        <v>579.9273154899995</v>
      </c>
      <c r="F38" s="223">
        <v>587.52601865999964</v>
      </c>
      <c r="G38" s="223">
        <f t="shared" si="4"/>
        <v>1.3102854387156679</v>
      </c>
      <c r="H38" s="223">
        <f t="shared" si="7"/>
        <v>6.0724248460381942E-2</v>
      </c>
      <c r="I38" s="334"/>
      <c r="J38" s="357"/>
      <c r="K38" s="90"/>
      <c r="L38" s="90"/>
      <c r="M38" s="90"/>
      <c r="N38" s="90"/>
      <c r="O38" s="53"/>
    </row>
    <row r="39" spans="3:15" ht="15" customHeight="1">
      <c r="C39" s="821" t="str">
        <f>IF(Indice_index!$Z$1=1,"Aquisição de bens e serviços","Purchase of goods and services")</f>
        <v>Purchase of goods and services</v>
      </c>
      <c r="D39" s="223">
        <v>9578.1575329900443</v>
      </c>
      <c r="E39" s="223">
        <v>3166.8084493699748</v>
      </c>
      <c r="F39" s="223">
        <v>3554.2803766399979</v>
      </c>
      <c r="G39" s="223">
        <f t="shared" si="4"/>
        <v>12.235407776151073</v>
      </c>
      <c r="H39" s="223">
        <f t="shared" si="7"/>
        <v>3.0964417291440935</v>
      </c>
      <c r="I39" s="334"/>
      <c r="J39" s="357"/>
      <c r="K39" s="90"/>
      <c r="L39" s="90"/>
      <c r="M39" s="90"/>
      <c r="N39" s="90"/>
      <c r="O39" s="53"/>
    </row>
    <row r="40" spans="3:15" ht="15" customHeight="1">
      <c r="C40" s="821" t="str">
        <f>IF(Indice_index!$Z$1=1,"Juros e outros encargos","Interests")</f>
        <v>Interests</v>
      </c>
      <c r="D40" s="223">
        <v>632.00897064999992</v>
      </c>
      <c r="E40" s="223">
        <v>170.93266924999995</v>
      </c>
      <c r="F40" s="223">
        <v>73.385002940000007</v>
      </c>
      <c r="G40" s="223">
        <f t="shared" si="4"/>
        <v>-57.067889209247788</v>
      </c>
      <c r="H40" s="223">
        <f t="shared" si="7"/>
        <v>-0.77954206043012986</v>
      </c>
      <c r="I40" s="334"/>
      <c r="J40" s="357"/>
      <c r="K40" s="90"/>
      <c r="L40" s="90"/>
      <c r="M40" s="90"/>
      <c r="N40" s="90"/>
      <c r="O40" s="53"/>
    </row>
    <row r="41" spans="3:15" ht="15" customHeight="1">
      <c r="C41" s="821" t="str">
        <f>IF(Indice_index!$Z$1=1,"Transferências correntes","Current transfers")</f>
        <v>Current transfers</v>
      </c>
      <c r="D41" s="114">
        <f>SUM(D42:D45)</f>
        <v>13047.552430199996</v>
      </c>
      <c r="E41" s="114">
        <f>SUM(E42:E45)</f>
        <v>4385.20855957</v>
      </c>
      <c r="F41" s="114">
        <f>SUM(F42:F45)</f>
        <v>4470.4891819100039</v>
      </c>
      <c r="G41" s="223">
        <f t="shared" si="4"/>
        <v>1.9447335555772578</v>
      </c>
      <c r="H41" s="223">
        <f t="shared" si="7"/>
        <v>0.68151125053491246</v>
      </c>
      <c r="I41" s="334"/>
      <c r="J41" s="357"/>
      <c r="K41" s="92"/>
      <c r="L41" s="90"/>
      <c r="M41" s="90"/>
      <c r="N41" s="90"/>
      <c r="O41" s="53"/>
    </row>
    <row r="42" spans="3:15" ht="15" customHeight="1">
      <c r="C42" s="803" t="str">
        <f>IF(Indice_index!$Z$1=1,"Administração Central","Central Administration")</f>
        <v>Central Administration</v>
      </c>
      <c r="D42" s="114">
        <v>548.32511082999997</v>
      </c>
      <c r="E42" s="223">
        <v>182.70287383000004</v>
      </c>
      <c r="F42" s="223">
        <v>173.08478130999995</v>
      </c>
      <c r="G42" s="223">
        <f t="shared" si="4"/>
        <v>-5.2643356496676992</v>
      </c>
      <c r="H42" s="223">
        <f t="shared" si="7"/>
        <v>-7.6861989056932215E-2</v>
      </c>
      <c r="I42" s="334"/>
      <c r="J42" s="357"/>
      <c r="K42" s="90"/>
      <c r="L42" s="90"/>
      <c r="M42" s="90"/>
      <c r="N42" s="90"/>
      <c r="O42" s="53"/>
    </row>
    <row r="43" spans="3:15" ht="15" customHeight="1">
      <c r="C43" s="803" t="str">
        <f>IF(Indice_index!$Z$1=1,"Outros subsectores das AP","Other General Government subsectors")</f>
        <v>Other General Government subsectors</v>
      </c>
      <c r="D43" s="223">
        <v>662.19723092000027</v>
      </c>
      <c r="E43" s="223">
        <v>242.92955799999999</v>
      </c>
      <c r="F43" s="223">
        <v>190.48084815000004</v>
      </c>
      <c r="G43" s="223">
        <f t="shared" si="4"/>
        <v>-21.590089852301936</v>
      </c>
      <c r="H43" s="223">
        <f t="shared" si="7"/>
        <v>-0.41913842626883679</v>
      </c>
      <c r="I43" s="334"/>
      <c r="J43" s="357"/>
      <c r="K43" s="90"/>
      <c r="L43" s="90"/>
      <c r="M43" s="90"/>
      <c r="N43" s="90"/>
      <c r="O43" s="53"/>
    </row>
    <row r="44" spans="3:15" ht="15" customHeight="1">
      <c r="C44" s="803" t="str">
        <f>IF(Indice_index!$Z$1=1,"União Europeia","European Union")</f>
        <v>European Union</v>
      </c>
      <c r="D44" s="223">
        <v>34.313346190000004</v>
      </c>
      <c r="E44" s="223">
        <v>12.34390681</v>
      </c>
      <c r="F44" s="223">
        <v>15.402898750000002</v>
      </c>
      <c r="G44" s="223">
        <f t="shared" si="4"/>
        <v>24.781392042929738</v>
      </c>
      <c r="H44" s="223">
        <f t="shared" si="7"/>
        <v>2.4445616896345036E-2</v>
      </c>
      <c r="I44" s="334"/>
      <c r="J44" s="357"/>
      <c r="K44" s="90"/>
      <c r="L44" s="90"/>
      <c r="M44" s="90"/>
      <c r="N44" s="90"/>
      <c r="O44" s="53"/>
    </row>
    <row r="45" spans="3:15" ht="15" customHeight="1">
      <c r="C45" s="803" t="str">
        <f>IF(Indice_index!$Z$1=1,"Outras transferências","Other transfers")</f>
        <v>Other transfers</v>
      </c>
      <c r="D45" s="223">
        <v>11802.716742259996</v>
      </c>
      <c r="E45" s="223">
        <v>3947.2322209299996</v>
      </c>
      <c r="F45" s="223">
        <v>4091.5206537000035</v>
      </c>
      <c r="G45" s="223">
        <f t="shared" si="4"/>
        <v>3.6554330906836907</v>
      </c>
      <c r="H45" s="223">
        <f t="shared" si="7"/>
        <v>1.1530660489643367</v>
      </c>
      <c r="I45" s="334"/>
      <c r="J45" s="357"/>
      <c r="K45" s="90"/>
      <c r="L45" s="90"/>
      <c r="M45" s="90"/>
      <c r="N45" s="90"/>
      <c r="O45" s="53"/>
    </row>
    <row r="46" spans="3:15" ht="15" customHeight="1">
      <c r="C46" s="821" t="str">
        <f>IF(Indice_index!$Z$1=1,"Subsídios","Subsidies")</f>
        <v>Subsidies</v>
      </c>
      <c r="D46" s="223">
        <v>966.79276689000005</v>
      </c>
      <c r="E46" s="223">
        <v>351.19148896000019</v>
      </c>
      <c r="F46" s="223">
        <v>305.56776802000007</v>
      </c>
      <c r="G46" s="223">
        <f t="shared" si="4"/>
        <v>-12.991123752773104</v>
      </c>
      <c r="H46" s="223">
        <f t="shared" si="7"/>
        <v>-0.3645972350894775</v>
      </c>
      <c r="I46" s="334"/>
      <c r="J46" s="357"/>
      <c r="K46" s="90"/>
      <c r="L46" s="90"/>
      <c r="M46" s="90"/>
      <c r="N46" s="90"/>
      <c r="O46" s="53"/>
    </row>
    <row r="47" spans="3:15" ht="15" customHeight="1">
      <c r="C47" s="821" t="str">
        <f>IF(Indice_index!$Z$1=1,"Outras despesas correntes","Other current expenditure")</f>
        <v>Other current expenditure</v>
      </c>
      <c r="D47" s="223">
        <v>234.45030436999991</v>
      </c>
      <c r="E47" s="223">
        <v>48.26323215</v>
      </c>
      <c r="F47" s="223">
        <v>45.931583910000029</v>
      </c>
      <c r="G47" s="223">
        <f t="shared" si="4"/>
        <v>-4.831106695783058</v>
      </c>
      <c r="H47" s="223">
        <f t="shared" si="7"/>
        <v>-1.863312513732103E-2</v>
      </c>
      <c r="I47" s="334"/>
      <c r="J47" s="357"/>
      <c r="K47" s="90"/>
      <c r="L47" s="90"/>
      <c r="M47" s="90"/>
      <c r="N47" s="90"/>
      <c r="O47" s="53"/>
    </row>
    <row r="48" spans="3:15" ht="15" customHeight="1">
      <c r="C48" s="791" t="str">
        <f>IF(Indice_index!$Z$1=1,"Diferenças de consolidação","Consolidation differences")</f>
        <v>Consolidation differences</v>
      </c>
      <c r="D48" s="223">
        <v>6.6768574800071292</v>
      </c>
      <c r="E48" s="223">
        <v>0</v>
      </c>
      <c r="F48" s="223">
        <v>9.6284230399992339</v>
      </c>
      <c r="G48" s="223"/>
      <c r="H48" s="223"/>
      <c r="I48" s="334"/>
      <c r="J48" s="357"/>
      <c r="K48" s="89"/>
      <c r="L48" s="90"/>
      <c r="M48" s="90"/>
      <c r="N48" s="90"/>
      <c r="O48" s="53"/>
    </row>
    <row r="49" spans="3:15" s="272" customFormat="1" ht="15" customHeight="1">
      <c r="C49" s="819" t="str">
        <f>IF(Indice_index!$Z$1=1,"Despesa de capital","Capital expenditure")</f>
        <v>Capital expenditure</v>
      </c>
      <c r="D49" s="283">
        <f>SUM(D50:D57)-D51</f>
        <v>4196.3242257499969</v>
      </c>
      <c r="E49" s="283">
        <f>SUM(E50:E57)-E51</f>
        <v>1305.3061420700001</v>
      </c>
      <c r="F49" s="283">
        <f>SUM(F50:F57)-F51</f>
        <v>1256.41549915</v>
      </c>
      <c r="G49" s="283">
        <f t="shared" si="4"/>
        <v>-3.7455307490139922</v>
      </c>
      <c r="H49" s="283">
        <f t="shared" ref="H49:H56" si="8">IFERROR((F49-E49)/$E$59*100,"-")</f>
        <v>-0.39070450333985707</v>
      </c>
      <c r="I49" s="536"/>
      <c r="J49" s="356"/>
      <c r="K49" s="284"/>
      <c r="L49" s="285"/>
      <c r="M49" s="285"/>
      <c r="N49" s="285"/>
    </row>
    <row r="50" spans="3:15" ht="15" customHeight="1">
      <c r="C50" s="821" t="str">
        <f>IF(Indice_index!$Z$1=1,"Investimento","Investment")</f>
        <v>Investment</v>
      </c>
      <c r="D50" s="223">
        <v>2743.4523255899981</v>
      </c>
      <c r="E50" s="223">
        <v>1029.9987660400002</v>
      </c>
      <c r="F50" s="223">
        <v>1026.87147792</v>
      </c>
      <c r="G50" s="223">
        <f t="shared" si="4"/>
        <v>-0.30362056956860289</v>
      </c>
      <c r="H50" s="223">
        <f t="shared" si="8"/>
        <v>-2.4991398737067832E-2</v>
      </c>
      <c r="I50" s="334"/>
      <c r="J50" s="357"/>
      <c r="K50" s="90"/>
      <c r="L50" s="90"/>
      <c r="M50" s="90"/>
      <c r="N50" s="90"/>
      <c r="O50" s="53"/>
    </row>
    <row r="51" spans="3:15" ht="15" customHeight="1">
      <c r="C51" s="821" t="str">
        <f>IF(Indice_index!$Z$1=1,"Transferências de capital","Capital transfers")</f>
        <v>Capital transfers</v>
      </c>
      <c r="D51" s="223">
        <f>SUM(D52:D55)</f>
        <v>1285.30045563</v>
      </c>
      <c r="E51" s="223">
        <f>SUM(E52:E55)</f>
        <v>268.05339020999998</v>
      </c>
      <c r="F51" s="223">
        <f>SUM(F52:F55)</f>
        <v>202.78905588000003</v>
      </c>
      <c r="G51" s="223">
        <f t="shared" si="4"/>
        <v>-24.347513112544544</v>
      </c>
      <c r="H51" s="223">
        <f t="shared" si="8"/>
        <v>-0.52155316042648892</v>
      </c>
      <c r="I51" s="334"/>
      <c r="J51" s="357"/>
      <c r="K51" s="92"/>
      <c r="L51" s="90"/>
      <c r="M51" s="90"/>
      <c r="N51" s="90"/>
      <c r="O51" s="53"/>
    </row>
    <row r="52" spans="3:15" ht="15" customHeight="1">
      <c r="C52" s="803" t="str">
        <f>IF(Indice_index!$Z$1=1,"Administração Central","Central Administration")</f>
        <v>Central Administration</v>
      </c>
      <c r="D52" s="114">
        <v>13.090126160000001</v>
      </c>
      <c r="E52" s="223">
        <v>5.7323436799999996</v>
      </c>
      <c r="F52" s="223">
        <v>6.5060079700000006</v>
      </c>
      <c r="G52" s="223">
        <f t="shared" si="4"/>
        <v>13.496474272805658</v>
      </c>
      <c r="H52" s="223">
        <f t="shared" si="8"/>
        <v>6.1826579509466767E-3</v>
      </c>
      <c r="I52" s="334"/>
      <c r="J52" s="357"/>
      <c r="K52" s="90"/>
      <c r="L52" s="90"/>
      <c r="M52" s="90"/>
      <c r="N52" s="90"/>
      <c r="O52" s="53"/>
    </row>
    <row r="53" spans="3:15" ht="15" customHeight="1">
      <c r="C53" s="803" t="str">
        <f>IF(Indice_index!$Z$1=1,"Outros subsectores das AP","Other General Government subsectors")</f>
        <v>Other General Government subsectors</v>
      </c>
      <c r="D53" s="223">
        <v>43.079640700000013</v>
      </c>
      <c r="E53" s="223">
        <v>5.6215271500000012</v>
      </c>
      <c r="F53" s="223">
        <v>11.814880909999999</v>
      </c>
      <c r="G53" s="223">
        <f t="shared" si="4"/>
        <v>110.17208660105817</v>
      </c>
      <c r="H53" s="223">
        <f t="shared" si="8"/>
        <v>4.9493544373476805E-2</v>
      </c>
      <c r="I53" s="334"/>
      <c r="J53" s="358"/>
      <c r="K53" s="90"/>
      <c r="L53" s="90"/>
      <c r="M53" s="90"/>
      <c r="N53" s="90"/>
      <c r="O53" s="53"/>
    </row>
    <row r="54" spans="3:15" ht="15" customHeight="1">
      <c r="C54" s="803" t="str">
        <f>IF(Indice_index!$Z$1=1,"União Europeia","European Union")</f>
        <v>European Union</v>
      </c>
      <c r="D54" s="223">
        <v>140.22973721</v>
      </c>
      <c r="E54" s="223">
        <v>0.18104400000000001</v>
      </c>
      <c r="F54" s="223">
        <v>9.0344832199999985</v>
      </c>
      <c r="G54" s="223" t="str">
        <f t="shared" si="4"/>
        <v>-</v>
      </c>
      <c r="H54" s="223">
        <f t="shared" si="8"/>
        <v>7.0751341498204681E-2</v>
      </c>
      <c r="I54" s="334"/>
      <c r="J54" s="358"/>
      <c r="K54" s="90"/>
      <c r="L54" s="90"/>
      <c r="M54" s="90"/>
      <c r="N54" s="90"/>
      <c r="O54" s="53"/>
    </row>
    <row r="55" spans="3:15" ht="15" customHeight="1">
      <c r="C55" s="803" t="str">
        <f>IF(Indice_index!$Z$1=1,"Outras transferências","Other transfers")</f>
        <v>Other transfers</v>
      </c>
      <c r="D55" s="223">
        <v>1088.9009515600001</v>
      </c>
      <c r="E55" s="223">
        <v>256.51847537999998</v>
      </c>
      <c r="F55" s="223">
        <v>175.43368378000002</v>
      </c>
      <c r="G55" s="223">
        <f t="shared" si="4"/>
        <v>-31.609727712548967</v>
      </c>
      <c r="H55" s="223">
        <f t="shared" si="8"/>
        <v>-0.64798070424911736</v>
      </c>
      <c r="I55" s="334"/>
      <c r="J55" s="358"/>
      <c r="K55" s="90"/>
      <c r="L55" s="90"/>
      <c r="M55" s="90"/>
      <c r="N55" s="90"/>
      <c r="O55" s="53"/>
    </row>
    <row r="56" spans="3:15" ht="15" customHeight="1">
      <c r="C56" s="821" t="str">
        <f>IF(Indice_index!$Z$1=1,"Outras despesas de capital","Other capital expenditure")</f>
        <v>Other capital expenditure</v>
      </c>
      <c r="D56" s="223">
        <v>115.82734792000001</v>
      </c>
      <c r="E56" s="223">
        <v>3.5530789399999998</v>
      </c>
      <c r="F56" s="223">
        <v>15.66510214</v>
      </c>
      <c r="G56" s="223">
        <f t="shared" si="4"/>
        <v>340.88809746512413</v>
      </c>
      <c r="H56" s="223">
        <f t="shared" si="8"/>
        <v>9.6791977486165873E-2</v>
      </c>
      <c r="I56" s="334"/>
      <c r="J56" s="357"/>
      <c r="K56" s="92"/>
      <c r="L56" s="90"/>
      <c r="M56" s="90"/>
      <c r="N56" s="90"/>
      <c r="O56" s="53"/>
    </row>
    <row r="57" spans="3:15" ht="15" customHeight="1">
      <c r="C57" s="791" t="str">
        <f>IF(Indice_index!$Z$1=1,"Diferenças de consolidação","Consolidation differences")</f>
        <v>Consolidation differences</v>
      </c>
      <c r="D57" s="223">
        <v>51.744096609999815</v>
      </c>
      <c r="E57" s="223">
        <v>3.7009068799999909</v>
      </c>
      <c r="F57" s="223">
        <v>11.089863209999976</v>
      </c>
      <c r="G57" s="223"/>
      <c r="H57" s="223"/>
      <c r="I57" s="334"/>
      <c r="J57" s="357"/>
      <c r="K57" s="89"/>
      <c r="L57" s="90"/>
      <c r="M57" s="90"/>
      <c r="N57" s="90"/>
      <c r="O57" s="53"/>
    </row>
    <row r="58" spans="3:15" ht="4.5" customHeight="1">
      <c r="C58" s="821"/>
      <c r="D58" s="821"/>
      <c r="E58" s="224"/>
      <c r="F58" s="224"/>
      <c r="G58" s="224"/>
      <c r="H58" s="224"/>
      <c r="I58" s="334"/>
      <c r="J58" s="90"/>
      <c r="K58" s="90"/>
      <c r="L58" s="96"/>
      <c r="M58" s="90"/>
      <c r="N58" s="90"/>
      <c r="O58" s="53"/>
    </row>
    <row r="59" spans="3:15" s="272" customFormat="1" ht="15" customHeight="1">
      <c r="C59" s="824" t="str">
        <f>IF(Indice_index!$Z$1=1,"Despesa efetiva","Effective Expenditure")</f>
        <v>Effective Expenditure</v>
      </c>
      <c r="D59" s="824">
        <f>+D34+D49</f>
        <v>37188.726359430053</v>
      </c>
      <c r="E59" s="825">
        <f>+E34+E49</f>
        <v>12513.457741609967</v>
      </c>
      <c r="F59" s="825">
        <f>+F34+F49</f>
        <v>12853.990122889998</v>
      </c>
      <c r="G59" s="825">
        <f t="shared" ref="G59" si="9">IFERROR(IF(E59=0,"-",(F59-E59)/E59*100),"-")</f>
        <v>2.7213292146077777</v>
      </c>
      <c r="H59" s="825"/>
      <c r="I59" s="536"/>
      <c r="J59" s="359"/>
      <c r="K59" s="284"/>
      <c r="L59" s="285"/>
      <c r="M59" s="285"/>
      <c r="N59" s="285"/>
    </row>
    <row r="60" spans="3:15" ht="4.5" customHeight="1">
      <c r="C60" s="827"/>
      <c r="D60" s="827"/>
      <c r="E60" s="687"/>
      <c r="F60" s="687"/>
      <c r="G60" s="112"/>
      <c r="H60" s="112"/>
      <c r="I60" s="334"/>
      <c r="J60" s="360"/>
      <c r="K60" s="90"/>
      <c r="L60" s="90"/>
      <c r="M60" s="90"/>
      <c r="N60" s="90"/>
      <c r="O60" s="53"/>
    </row>
    <row r="61" spans="3:15" s="272" customFormat="1" ht="15" customHeight="1">
      <c r="C61" s="794" t="str">
        <f>IF(Indice_index!$Z$1=1,"Saldo global","Overall Balance")</f>
        <v>Overall Balance</v>
      </c>
      <c r="D61" s="794">
        <f>+(D9+D22)-(D34+D49)</f>
        <v>-1151.3942142800588</v>
      </c>
      <c r="E61" s="796">
        <f>+(E9+E22)-(E34+E49)</f>
        <v>632.92984127003365</v>
      </c>
      <c r="F61" s="796">
        <f>+(F9+F22)-(F34+F49)</f>
        <v>782.71977381000397</v>
      </c>
      <c r="G61" s="796"/>
      <c r="H61" s="796"/>
      <c r="I61" s="536"/>
      <c r="J61" s="359"/>
      <c r="K61" s="288"/>
      <c r="L61" s="289"/>
      <c r="M61" s="285"/>
      <c r="N61" s="285"/>
    </row>
    <row r="62" spans="3:15" ht="4.5" customHeight="1">
      <c r="C62" s="828"/>
      <c r="D62" s="828"/>
      <c r="E62" s="829"/>
      <c r="F62" s="223"/>
      <c r="G62" s="225"/>
      <c r="H62" s="225"/>
      <c r="I62" s="334"/>
      <c r="J62" s="360"/>
      <c r="K62" s="90"/>
      <c r="L62" s="90"/>
      <c r="M62" s="90"/>
      <c r="N62" s="90"/>
      <c r="O62" s="53"/>
    </row>
    <row r="63" spans="3:15" ht="15" customHeight="1">
      <c r="C63" s="821" t="str">
        <f>IF(Indice_index!$Z$1=1,"Despesa  primária","Primary Expenditure")</f>
        <v>Primary Expenditure</v>
      </c>
      <c r="D63" s="114">
        <f>D59-D40</f>
        <v>36556.717388780053</v>
      </c>
      <c r="E63" s="114">
        <f>E59-E40</f>
        <v>12342.525072359967</v>
      </c>
      <c r="F63" s="114">
        <f>F59-F40</f>
        <v>12780.605119949998</v>
      </c>
      <c r="G63" s="223">
        <f t="shared" ref="G63" si="10">IFERROR(IF(E63=0,"-",(F63-E63)/E63*100),"-")</f>
        <v>3.5493551361793338</v>
      </c>
      <c r="H63" s="223"/>
      <c r="I63" s="334"/>
      <c r="J63" s="360"/>
      <c r="K63" s="90"/>
      <c r="L63" s="90"/>
      <c r="M63" s="90"/>
      <c r="N63" s="90"/>
      <c r="O63" s="53"/>
    </row>
    <row r="64" spans="3:15" ht="15" customHeight="1">
      <c r="C64" s="800" t="str">
        <f>IF(Indice_index!$Z$1=1,"Saldo corrente","Current balance")</f>
        <v>Current balance</v>
      </c>
      <c r="D64" s="114">
        <f>+D9-D34</f>
        <v>10.51454472993646</v>
      </c>
      <c r="E64" s="114">
        <f>+E9-E34</f>
        <v>1053.446941680033</v>
      </c>
      <c r="F64" s="114">
        <f>+F9-F34</f>
        <v>1081.1453454800048</v>
      </c>
      <c r="G64" s="225"/>
      <c r="H64" s="225"/>
      <c r="I64" s="334"/>
      <c r="J64" s="360"/>
      <c r="K64" s="97"/>
      <c r="L64" s="90"/>
      <c r="M64" s="90"/>
      <c r="N64" s="90"/>
      <c r="O64" s="53"/>
    </row>
    <row r="65" spans="3:17" ht="15" customHeight="1">
      <c r="C65" s="800" t="str">
        <f>IF(Indice_index!$Z$1=1,"Saldo de capital","Capital balance")</f>
        <v>Capital balance</v>
      </c>
      <c r="D65" s="114">
        <f>D22-D49</f>
        <v>-1161.9087590099971</v>
      </c>
      <c r="E65" s="114">
        <f>E22-E49</f>
        <v>-420.51710041000001</v>
      </c>
      <c r="F65" s="114">
        <f>F22-F49</f>
        <v>-298.42557166999995</v>
      </c>
      <c r="G65" s="225"/>
      <c r="H65" s="225"/>
      <c r="I65" s="334"/>
      <c r="J65" s="360"/>
      <c r="K65" s="97"/>
      <c r="L65" s="90"/>
      <c r="M65" s="90"/>
      <c r="N65" s="90"/>
      <c r="O65" s="53"/>
    </row>
    <row r="66" spans="3:17" ht="15" customHeight="1">
      <c r="C66" s="800" t="str">
        <f>IF(Indice_index!$Z$1=1,"Saldo primário","Primary balance")</f>
        <v>Primary balance</v>
      </c>
      <c r="D66" s="114">
        <f>D61+D40</f>
        <v>-519.38524363005888</v>
      </c>
      <c r="E66" s="114">
        <f>E61+E40</f>
        <v>803.86251052003354</v>
      </c>
      <c r="F66" s="114">
        <f>F61+F40</f>
        <v>856.10477675000402</v>
      </c>
      <c r="G66" s="225"/>
      <c r="H66" s="225"/>
      <c r="I66" s="334"/>
      <c r="J66" s="360"/>
      <c r="K66" s="97"/>
      <c r="L66" s="90"/>
      <c r="M66" s="90"/>
      <c r="N66" s="90"/>
      <c r="O66" s="53"/>
    </row>
    <row r="67" spans="3:17" ht="4.5" customHeight="1">
      <c r="C67" s="136"/>
      <c r="D67" s="136"/>
      <c r="E67" s="114"/>
      <c r="F67" s="114"/>
      <c r="G67" s="225"/>
      <c r="H67" s="225"/>
      <c r="I67" s="334"/>
      <c r="J67" s="360"/>
      <c r="K67" s="97"/>
      <c r="L67" s="90"/>
      <c r="M67" s="90"/>
      <c r="N67" s="90"/>
      <c r="O67" s="53"/>
    </row>
    <row r="68" spans="3:17" ht="15" customHeight="1">
      <c r="C68" s="136" t="str">
        <f>IF(Indice_index!$Z$1=1,"Ativos financeiros líquidos de reembolsos","Financial assets net of reimbursements")</f>
        <v>Financial assets net of reimbursements</v>
      </c>
      <c r="D68" s="136">
        <v>3783.0859037799974</v>
      </c>
      <c r="E68" s="114">
        <v>-801.41189529999974</v>
      </c>
      <c r="F68" s="114">
        <v>-4081.7891781500002</v>
      </c>
      <c r="G68" s="830"/>
      <c r="H68" s="225"/>
      <c r="I68" s="537"/>
      <c r="J68" s="360"/>
      <c r="K68" s="90"/>
      <c r="L68" s="90"/>
      <c r="M68" s="90"/>
      <c r="N68" s="90"/>
      <c r="O68" s="53"/>
    </row>
    <row r="69" spans="3:17" ht="15" customHeight="1">
      <c r="C69" s="831" t="str">
        <f>IF(Indice_index!$Z$1=1,"dos quais Receitas de:","of which revenue from:")</f>
        <v>of which revenue from:</v>
      </c>
      <c r="D69" s="831"/>
      <c r="E69" s="114"/>
      <c r="F69" s="114"/>
      <c r="G69" s="114"/>
      <c r="H69" s="225"/>
      <c r="I69" s="334"/>
      <c r="J69" s="360"/>
      <c r="K69" s="90"/>
      <c r="L69" s="90"/>
      <c r="M69" s="90"/>
      <c r="N69" s="90"/>
      <c r="O69" s="53"/>
    </row>
    <row r="70" spans="3:17" ht="15" customHeight="1">
      <c r="C70" s="802" t="str">
        <f>IF(Indice_index!$Z$1=1,"Alienação de partes de Capital","Disposal of Capital Shares")</f>
        <v>Disposal of Capital Shares</v>
      </c>
      <c r="D70" s="114">
        <v>0</v>
      </c>
      <c r="E70" s="114">
        <v>0</v>
      </c>
      <c r="F70" s="114">
        <v>0</v>
      </c>
      <c r="G70" s="223" t="str">
        <f>IF(E70=0,"-",(F70-E70)/E70*100)</f>
        <v>-</v>
      </c>
      <c r="H70" s="225"/>
      <c r="I70" s="334"/>
      <c r="J70" s="360"/>
      <c r="K70" s="90"/>
      <c r="L70" s="90"/>
      <c r="M70" s="90"/>
      <c r="N70" s="90"/>
      <c r="O70" s="53"/>
    </row>
    <row r="71" spans="3:17" ht="15" customHeight="1">
      <c r="C71" s="803" t="str">
        <f>IF(Indice_index!$Z$1=1,"Outros Ativos","Other Assets")</f>
        <v>Other Assets</v>
      </c>
      <c r="D71" s="114">
        <v>2588.6264850300013</v>
      </c>
      <c r="E71" s="114">
        <v>1647.2155753699997</v>
      </c>
      <c r="F71" s="114">
        <v>4660.1190795700004</v>
      </c>
      <c r="G71" s="223">
        <f>IF(IFERROR((F71-E71)/E71*100,"")&gt;500,"-",IFERROR((F71-E71)/E71*100,""))</f>
        <v>182.90887660670876</v>
      </c>
      <c r="H71" s="225"/>
      <c r="I71" s="334"/>
      <c r="J71" s="360"/>
      <c r="K71" s="90"/>
      <c r="L71" s="90"/>
      <c r="M71" s="90"/>
      <c r="N71" s="90"/>
      <c r="O71" s="53"/>
    </row>
    <row r="72" spans="3:17" ht="15" customHeight="1">
      <c r="C72" s="136" t="str">
        <f>IF(Indice_index!$Z$1=1,"Passivos financeiros líquidos de amortizações","Financial liabilities net of amortizations")</f>
        <v>Financial liabilities net of amortizations</v>
      </c>
      <c r="D72" s="136">
        <v>1925.5570962700008</v>
      </c>
      <c r="E72" s="114">
        <v>654.26487513999996</v>
      </c>
      <c r="F72" s="114">
        <v>629.77566855999999</v>
      </c>
      <c r="G72" s="114"/>
      <c r="H72" s="225"/>
      <c r="I72" s="334"/>
      <c r="J72" s="360"/>
      <c r="K72" s="90"/>
      <c r="L72" s="90"/>
      <c r="M72" s="90"/>
      <c r="N72" s="90"/>
      <c r="O72" s="53"/>
    </row>
    <row r="73" spans="3:17" ht="15" customHeight="1">
      <c r="C73" s="804" t="str">
        <f>IF(Indice_index!$Z$1=1,"Poupança (+) / Utilização (-) de saldo da gerência anterior","Saving (+) / Usage (-) of balance from previous management")</f>
        <v>Saving (+) / Usage (-) of balance from previous management</v>
      </c>
      <c r="D73" s="804">
        <f>D61-D68+D72</f>
        <v>-3008.9230217900554</v>
      </c>
      <c r="E73" s="832">
        <f>E61-E68+E72</f>
        <v>2088.6066117100336</v>
      </c>
      <c r="F73" s="832">
        <f>F61-F68+F72</f>
        <v>5494.284620520004</v>
      </c>
      <c r="G73" s="832"/>
      <c r="H73" s="832"/>
      <c r="I73" s="334"/>
      <c r="J73" s="360"/>
      <c r="K73" s="58"/>
      <c r="L73" s="58"/>
      <c r="M73" s="58"/>
      <c r="O73" s="53"/>
    </row>
    <row r="74" spans="3:17" ht="4.5" customHeight="1">
      <c r="E74" s="686"/>
      <c r="I74" s="334"/>
    </row>
    <row r="75" spans="3:17" ht="15" customHeight="1">
      <c r="C75" s="833" t="str">
        <f>IF(Indice_index!$Z$1=1,"Notas:","Notes:")</f>
        <v>Notes:</v>
      </c>
      <c r="D75" s="833"/>
      <c r="E75" s="58"/>
      <c r="F75" s="58"/>
    </row>
    <row r="76" spans="3:17" s="22" customFormat="1" ht="15" customHeight="1">
      <c r="C76" s="1674" t="str">
        <f>+'5 - Conta AC + SS'!$C$64</f>
        <v>2021 cumulative execution is monthly reviewed and updated and therefore may differ from data published in 2021.</v>
      </c>
      <c r="D76" s="1674"/>
      <c r="E76" s="1674"/>
      <c r="F76" s="1674"/>
      <c r="G76" s="1674"/>
      <c r="H76" s="1674"/>
      <c r="I76" s="63"/>
      <c r="P76" s="24"/>
      <c r="Q76" s="24"/>
    </row>
    <row r="77" spans="3:17" s="63" customFormat="1" ht="4.5" customHeight="1">
      <c r="C77" s="685"/>
      <c r="D77" s="685"/>
      <c r="E77" s="639"/>
      <c r="F77" s="639"/>
      <c r="G77" s="639"/>
      <c r="H77" s="639"/>
      <c r="I77" s="79"/>
      <c r="J77" s="53"/>
      <c r="M77" s="98"/>
      <c r="N77" s="98"/>
    </row>
    <row r="78" spans="3:17" ht="15" customHeight="1">
      <c r="C78" s="1686" t="str">
        <f>IF(Indice_index!$Z$1=1,"Entidades em incumprimento no reporte de execução orçamental no mês em análise:","Non reporting entities are identified below:")</f>
        <v>Non reporting entities are identified below:</v>
      </c>
      <c r="D78" s="1686"/>
      <c r="E78" s="1686"/>
      <c r="F78" s="1686"/>
      <c r="G78" s="1686"/>
      <c r="H78" s="1686"/>
    </row>
    <row r="79" spans="3:17" ht="15" hidden="1" customHeight="1">
      <c r="C79" s="834" t="s">
        <v>68</v>
      </c>
      <c r="D79" s="835"/>
      <c r="E79" s="836"/>
      <c r="F79" s="836"/>
      <c r="G79" s="836"/>
      <c r="H79" s="836"/>
      <c r="I79" s="217"/>
      <c r="K79" s="50"/>
      <c r="L79" s="50"/>
      <c r="N79" s="53"/>
      <c r="O79" s="53"/>
    </row>
    <row r="80" spans="3:17" ht="15" hidden="1" customHeight="1">
      <c r="C80" s="1688"/>
      <c r="D80" s="1688"/>
      <c r="E80" s="1688"/>
      <c r="F80" s="1688"/>
      <c r="G80" s="1688"/>
      <c r="H80" s="1688"/>
      <c r="I80" s="220"/>
      <c r="J80" s="220"/>
      <c r="K80" s="50"/>
      <c r="L80" s="50"/>
      <c r="N80" s="53"/>
      <c r="O80" s="53"/>
    </row>
    <row r="81" spans="3:20" ht="12.75" customHeight="1">
      <c r="C81" s="834" t="s">
        <v>75</v>
      </c>
      <c r="D81" s="835"/>
      <c r="E81" s="836"/>
      <c r="F81" s="836"/>
      <c r="G81" s="836"/>
      <c r="H81" s="836"/>
      <c r="I81" s="217"/>
    </row>
    <row r="82" spans="3:20" ht="23.25" customHeight="1">
      <c r="C82" s="1688" t="s">
        <v>589</v>
      </c>
      <c r="D82" s="1688"/>
      <c r="E82" s="1688"/>
      <c r="F82" s="1688"/>
      <c r="G82" s="1688"/>
      <c r="H82" s="1688"/>
      <c r="I82" s="219"/>
      <c r="J82" s="219"/>
    </row>
    <row r="83" spans="3:20" ht="4.5" customHeight="1">
      <c r="C83" s="538"/>
      <c r="D83" s="538"/>
      <c r="E83" s="538"/>
      <c r="F83" s="538"/>
      <c r="G83" s="538"/>
      <c r="H83" s="538"/>
      <c r="I83" s="538"/>
    </row>
    <row r="84" spans="3:20" ht="24.75" customHeight="1">
      <c r="C84" s="1689" t="str">
        <f>+'10 - EPR'!C84:H84</f>
        <v>For the entities identified above an estimate is being used for the months without report, the estimate corresponds to the 2022 monthly budget implementation prediction.</v>
      </c>
      <c r="D84" s="1689"/>
      <c r="E84" s="1689"/>
      <c r="F84" s="1689"/>
      <c r="G84" s="1689"/>
      <c r="H84" s="1689"/>
      <c r="I84" s="219"/>
      <c r="K84" s="99"/>
      <c r="L84" s="99"/>
      <c r="M84" s="53"/>
      <c r="N84" s="53"/>
      <c r="O84" s="53"/>
      <c r="R84" s="50"/>
      <c r="S84" s="50"/>
      <c r="T84" s="50"/>
    </row>
    <row r="85" spans="3:20" s="100" customFormat="1" ht="4.5" customHeight="1">
      <c r="C85" s="539"/>
      <c r="D85" s="539"/>
      <c r="E85" s="539"/>
      <c r="F85" s="539"/>
      <c r="G85" s="539"/>
      <c r="H85" s="539"/>
      <c r="I85" s="539"/>
      <c r="K85" s="459"/>
      <c r="L85" s="459"/>
      <c r="R85" s="104"/>
      <c r="S85" s="104"/>
      <c r="T85" s="104"/>
    </row>
    <row r="86" spans="3:20" ht="18" customHeight="1">
      <c r="C86" s="1688" t="str">
        <f>+'10 - EPR'!C86:H86</f>
        <v>This estimate is used only in months in which there is a lack of report. In other months, the information considered is that effectively reported by the entities.</v>
      </c>
      <c r="D86" s="1688"/>
      <c r="E86" s="1688"/>
      <c r="F86" s="1688"/>
      <c r="G86" s="1688"/>
      <c r="H86" s="1688"/>
      <c r="I86" s="219"/>
      <c r="J86" s="99"/>
      <c r="K86" s="99"/>
      <c r="L86" s="99"/>
      <c r="M86" s="53"/>
      <c r="N86" s="53"/>
      <c r="O86" s="53"/>
      <c r="R86" s="50"/>
      <c r="S86" s="50"/>
      <c r="T86" s="50"/>
    </row>
    <row r="87" spans="3:20" s="348" customFormat="1" ht="4.5" customHeight="1">
      <c r="C87" s="837"/>
      <c r="D87" s="837"/>
      <c r="E87" s="837"/>
      <c r="F87" s="837"/>
      <c r="G87" s="837"/>
      <c r="H87" s="837"/>
      <c r="I87" s="347"/>
      <c r="J87" s="347"/>
      <c r="K87" s="347"/>
      <c r="L87" s="347"/>
      <c r="M87" s="347"/>
      <c r="N87" s="347"/>
      <c r="R87" s="349"/>
      <c r="S87" s="349"/>
      <c r="T87" s="349"/>
    </row>
    <row r="88" spans="3:20">
      <c r="C88" s="684" t="str">
        <f>IF(Indice_index!$Z$1=1,"Fonte: Direção-Geral do Orçamento","Source: Budget General Directorate")</f>
        <v>Source: Budget General Directorate</v>
      </c>
      <c r="D88" s="684"/>
      <c r="E88" s="838"/>
      <c r="F88" s="838"/>
      <c r="G88" s="838"/>
      <c r="H88" s="838"/>
    </row>
    <row r="89" spans="3:20" s="348" customFormat="1" ht="12.75" customHeight="1">
      <c r="C89" s="637"/>
      <c r="D89" s="637"/>
      <c r="E89" s="377"/>
      <c r="F89" s="638"/>
      <c r="G89" s="102"/>
      <c r="H89" s="102"/>
      <c r="I89" s="384"/>
      <c r="J89" s="350"/>
      <c r="K89" s="350"/>
      <c r="L89" s="350"/>
      <c r="M89" s="350"/>
      <c r="N89" s="350"/>
      <c r="O89" s="350"/>
      <c r="P89" s="350"/>
      <c r="Q89" s="350"/>
    </row>
    <row r="90" spans="3:20" s="348" customFormat="1" ht="12.75" customHeight="1">
      <c r="C90" s="378"/>
      <c r="D90" s="378"/>
      <c r="E90" s="377"/>
      <c r="F90" s="102"/>
      <c r="G90" s="379"/>
      <c r="H90" s="102"/>
      <c r="I90" s="102"/>
      <c r="M90" s="349"/>
      <c r="N90" s="349"/>
      <c r="O90" s="349"/>
    </row>
    <row r="91" spans="3:20" s="348" customFormat="1" ht="12.75" customHeight="1">
      <c r="C91" s="1685"/>
      <c r="D91" s="1685"/>
      <c r="E91" s="1685"/>
      <c r="F91" s="1685"/>
      <c r="G91" s="1685"/>
      <c r="H91" s="1685"/>
      <c r="I91" s="1685"/>
      <c r="M91" s="349"/>
      <c r="N91" s="349"/>
      <c r="O91" s="349"/>
    </row>
    <row r="92" spans="3:20" s="348" customFormat="1" ht="12.75" customHeight="1">
      <c r="C92" s="1685"/>
      <c r="D92" s="1685"/>
      <c r="E92" s="1685"/>
      <c r="F92" s="1685"/>
      <c r="G92" s="1685"/>
      <c r="H92" s="1685"/>
      <c r="I92" s="1685"/>
      <c r="M92" s="349"/>
      <c r="N92" s="349"/>
      <c r="O92" s="349"/>
    </row>
    <row r="93" spans="3:20" s="348" customFormat="1" ht="12.75" customHeight="1">
      <c r="C93" s="1685"/>
      <c r="D93" s="1685"/>
      <c r="E93" s="1685"/>
      <c r="F93" s="1685"/>
      <c r="G93" s="1685"/>
      <c r="H93" s="1685"/>
      <c r="I93" s="1685"/>
      <c r="M93" s="349"/>
      <c r="N93" s="349"/>
      <c r="O93" s="349"/>
    </row>
    <row r="94" spans="3:20" s="348" customFormat="1" ht="12.75" customHeight="1">
      <c r="C94" s="1685"/>
      <c r="D94" s="1685"/>
      <c r="E94" s="1685"/>
      <c r="F94" s="1685"/>
      <c r="G94" s="1685"/>
      <c r="H94" s="1685"/>
      <c r="I94" s="1685"/>
      <c r="M94" s="349"/>
      <c r="N94" s="349"/>
      <c r="O94" s="349"/>
    </row>
    <row r="95" spans="3:20" s="348" customFormat="1" ht="12.75" customHeight="1">
      <c r="C95" s="1687"/>
      <c r="D95" s="1687"/>
      <c r="E95" s="1687"/>
      <c r="F95" s="1687"/>
      <c r="G95" s="1687"/>
      <c r="H95" s="1687"/>
      <c r="I95" s="1687"/>
      <c r="M95" s="349"/>
      <c r="N95" s="349"/>
      <c r="O95" s="349"/>
    </row>
    <row r="96" spans="3:20" s="348" customFormat="1" ht="12.75" customHeight="1">
      <c r="C96" s="1687"/>
      <c r="D96" s="1687"/>
      <c r="E96" s="1687"/>
      <c r="F96" s="1687"/>
      <c r="G96" s="1687"/>
      <c r="H96" s="1687"/>
      <c r="I96" s="1687"/>
      <c r="M96" s="349"/>
      <c r="N96" s="349"/>
      <c r="O96" s="349"/>
    </row>
    <row r="97" spans="3:16" s="100" customFormat="1">
      <c r="C97" s="1685"/>
      <c r="D97" s="1685"/>
      <c r="E97" s="1685"/>
      <c r="F97" s="1685"/>
      <c r="G97" s="1685"/>
      <c r="H97" s="1685"/>
      <c r="I97" s="1685"/>
      <c r="M97" s="104"/>
      <c r="N97" s="104"/>
      <c r="O97" s="104"/>
    </row>
    <row r="98" spans="3:16" s="100" customFormat="1" ht="12.75" customHeight="1">
      <c r="C98" s="385"/>
      <c r="D98" s="385"/>
      <c r="E98" s="106"/>
      <c r="F98" s="102"/>
      <c r="G98" s="102"/>
      <c r="H98" s="102"/>
      <c r="I98" s="102"/>
      <c r="M98" s="104"/>
      <c r="N98" s="104"/>
      <c r="O98" s="104"/>
    </row>
    <row r="99" spans="3:16" s="348" customFormat="1">
      <c r="C99" s="385"/>
      <c r="D99" s="385"/>
      <c r="E99" s="106"/>
      <c r="F99" s="386"/>
      <c r="G99" s="386"/>
      <c r="H99" s="386"/>
      <c r="I99" s="102"/>
      <c r="M99" s="349"/>
      <c r="N99" s="349"/>
      <c r="O99" s="349"/>
    </row>
    <row r="100" spans="3:16" s="351" customFormat="1">
      <c r="C100" s="385"/>
      <c r="D100" s="385"/>
      <c r="E100" s="106"/>
      <c r="F100" s="102"/>
      <c r="G100" s="102"/>
      <c r="H100" s="102"/>
      <c r="I100" s="386"/>
      <c r="M100" s="349"/>
      <c r="N100" s="349"/>
      <c r="O100" s="349"/>
    </row>
    <row r="101" spans="3:16" s="348" customFormat="1" ht="15">
      <c r="C101" s="387"/>
      <c r="D101" s="387"/>
      <c r="E101" s="354"/>
      <c r="M101" s="349"/>
      <c r="N101" s="349"/>
      <c r="O101" s="349"/>
    </row>
    <row r="102" spans="3:16" s="352" customFormat="1">
      <c r="C102" s="354"/>
      <c r="D102" s="354"/>
      <c r="E102" s="354"/>
      <c r="F102" s="348"/>
      <c r="G102" s="348"/>
      <c r="H102" s="348"/>
      <c r="N102" s="349"/>
      <c r="O102" s="349"/>
      <c r="P102" s="349"/>
    </row>
    <row r="103" spans="3:16" s="353" customFormat="1">
      <c r="C103" s="354"/>
      <c r="D103" s="354"/>
      <c r="E103" s="354"/>
      <c r="F103" s="348"/>
      <c r="G103" s="348"/>
      <c r="H103" s="348"/>
      <c r="N103" s="349"/>
      <c r="O103" s="349"/>
      <c r="P103" s="349"/>
    </row>
    <row r="104" spans="3:16" s="353" customFormat="1">
      <c r="C104" s="354"/>
      <c r="D104" s="354"/>
      <c r="E104" s="354"/>
      <c r="F104" s="348"/>
      <c r="G104" s="348"/>
      <c r="H104" s="348"/>
      <c r="N104" s="349"/>
      <c r="O104" s="349"/>
      <c r="P104" s="349"/>
    </row>
    <row r="105" spans="3:16" s="353" customFormat="1">
      <c r="C105" s="354"/>
      <c r="D105" s="354"/>
      <c r="E105" s="354"/>
      <c r="F105" s="348"/>
      <c r="G105" s="348"/>
      <c r="H105" s="348"/>
      <c r="N105" s="349"/>
      <c r="O105" s="349"/>
      <c r="P105" s="349"/>
    </row>
    <row r="106" spans="3:16" s="353" customFormat="1">
      <c r="C106" s="354"/>
      <c r="D106" s="354"/>
      <c r="E106" s="354"/>
      <c r="F106" s="348"/>
      <c r="G106" s="348"/>
      <c r="H106" s="348"/>
      <c r="N106" s="349"/>
      <c r="O106" s="349"/>
      <c r="P106" s="349"/>
    </row>
    <row r="107" spans="3:16" s="353" customFormat="1">
      <c r="C107" s="354"/>
      <c r="D107" s="354"/>
      <c r="E107" s="354"/>
      <c r="F107" s="348"/>
      <c r="G107" s="348"/>
      <c r="H107" s="348"/>
      <c r="N107" s="349"/>
      <c r="O107" s="349"/>
      <c r="P107" s="349"/>
    </row>
    <row r="108" spans="3:16" s="353" customFormat="1">
      <c r="C108" s="354"/>
      <c r="D108" s="354"/>
      <c r="E108" s="354"/>
      <c r="F108" s="348"/>
      <c r="G108" s="348"/>
      <c r="H108" s="348"/>
      <c r="N108" s="349"/>
      <c r="O108" s="349"/>
      <c r="P108" s="349"/>
    </row>
    <row r="109" spans="3:16" s="348" customFormat="1">
      <c r="C109" s="354"/>
      <c r="D109" s="354"/>
      <c r="E109" s="354"/>
      <c r="M109" s="349"/>
      <c r="N109" s="349"/>
      <c r="O109" s="349"/>
    </row>
    <row r="110" spans="3:16" s="348" customFormat="1">
      <c r="C110" s="354"/>
      <c r="D110" s="354"/>
      <c r="E110" s="354"/>
      <c r="M110" s="349"/>
      <c r="N110" s="349"/>
      <c r="O110" s="349"/>
    </row>
    <row r="111" spans="3:16" s="348" customFormat="1">
      <c r="C111" s="354"/>
      <c r="D111" s="354"/>
      <c r="E111" s="354"/>
      <c r="M111" s="349"/>
      <c r="N111" s="349"/>
      <c r="O111" s="349"/>
    </row>
    <row r="112" spans="3:16" s="348" customFormat="1">
      <c r="C112" s="354"/>
      <c r="D112" s="354"/>
      <c r="E112" s="354"/>
      <c r="M112" s="349"/>
      <c r="N112" s="349"/>
      <c r="O112" s="349"/>
    </row>
    <row r="113" spans="3:15" s="348" customFormat="1" ht="12" customHeight="1">
      <c r="C113" s="354"/>
      <c r="D113" s="354"/>
      <c r="E113" s="354"/>
      <c r="M113" s="349"/>
      <c r="N113" s="349"/>
      <c r="O113" s="349"/>
    </row>
    <row r="114" spans="3:15" s="348" customFormat="1">
      <c r="C114" s="354"/>
      <c r="D114" s="354"/>
      <c r="E114" s="354"/>
      <c r="M114" s="349"/>
      <c r="N114" s="349"/>
      <c r="O114" s="349"/>
    </row>
    <row r="115" spans="3:15" s="348" customFormat="1">
      <c r="C115" s="354"/>
      <c r="D115" s="354"/>
      <c r="E115" s="354"/>
      <c r="M115" s="349"/>
      <c r="N115" s="349"/>
      <c r="O115" s="349"/>
    </row>
    <row r="116" spans="3:15" s="348" customFormat="1">
      <c r="C116" s="354"/>
      <c r="D116" s="354"/>
      <c r="E116" s="354"/>
      <c r="M116" s="349"/>
      <c r="N116" s="349"/>
      <c r="O116" s="349"/>
    </row>
    <row r="117" spans="3:15" s="348" customFormat="1">
      <c r="C117" s="354"/>
      <c r="D117" s="354"/>
      <c r="E117" s="354"/>
      <c r="M117" s="349"/>
      <c r="N117" s="349"/>
      <c r="O117" s="349"/>
    </row>
    <row r="118" spans="3:15" s="105" customFormat="1">
      <c r="C118" s="63"/>
      <c r="D118" s="63"/>
      <c r="E118" s="62"/>
      <c r="F118" s="63"/>
      <c r="G118" s="63"/>
      <c r="H118" s="63"/>
      <c r="M118" s="50"/>
      <c r="N118" s="50"/>
      <c r="O118" s="50"/>
    </row>
    <row r="119" spans="3:15" s="105" customFormat="1">
      <c r="C119" s="63"/>
      <c r="D119" s="63"/>
      <c r="E119" s="62"/>
      <c r="F119" s="63"/>
      <c r="G119" s="63"/>
      <c r="H119" s="63"/>
      <c r="M119" s="50"/>
      <c r="N119" s="50"/>
      <c r="O119" s="50"/>
    </row>
    <row r="120" spans="3:15" s="105" customFormat="1">
      <c r="C120" s="63"/>
      <c r="D120" s="63"/>
      <c r="E120" s="63"/>
      <c r="M120" s="50"/>
      <c r="N120" s="50"/>
      <c r="O120" s="50"/>
    </row>
    <row r="121" spans="3:15" s="105" customFormat="1">
      <c r="C121" s="63"/>
      <c r="D121" s="63"/>
      <c r="E121" s="63"/>
      <c r="M121" s="50"/>
      <c r="N121" s="50"/>
      <c r="O121" s="50"/>
    </row>
    <row r="122" spans="3:15" s="105" customFormat="1">
      <c r="C122" s="63"/>
      <c r="D122" s="63"/>
      <c r="E122" s="63"/>
      <c r="M122" s="50"/>
      <c r="N122" s="50"/>
      <c r="O122" s="50"/>
    </row>
    <row r="123" spans="3:15" s="105" customFormat="1">
      <c r="C123" s="63"/>
      <c r="D123" s="63"/>
      <c r="E123" s="63"/>
      <c r="M123" s="50"/>
      <c r="N123" s="50"/>
      <c r="O123" s="50"/>
    </row>
    <row r="124" spans="3:15" s="105" customFormat="1">
      <c r="C124" s="63"/>
      <c r="D124" s="63"/>
      <c r="E124" s="63"/>
      <c r="M124" s="50"/>
      <c r="N124" s="50"/>
      <c r="O124" s="50"/>
    </row>
    <row r="125" spans="3:15" s="105" customFormat="1">
      <c r="C125" s="63"/>
      <c r="D125" s="63"/>
      <c r="E125" s="63"/>
      <c r="M125" s="50"/>
      <c r="N125" s="50"/>
      <c r="O125" s="50"/>
    </row>
    <row r="126" spans="3:15" s="105" customFormat="1">
      <c r="C126" s="63"/>
      <c r="D126" s="63"/>
      <c r="E126" s="63"/>
      <c r="M126" s="50"/>
      <c r="N126" s="50"/>
      <c r="O126" s="50"/>
    </row>
    <row r="127" spans="3:15" s="105" customFormat="1">
      <c r="C127" s="63"/>
      <c r="D127" s="63"/>
      <c r="E127" s="63"/>
      <c r="M127" s="50"/>
      <c r="N127" s="50"/>
      <c r="O127" s="50"/>
    </row>
    <row r="128" spans="3:15" s="105" customFormat="1">
      <c r="C128" s="63"/>
      <c r="D128" s="63"/>
      <c r="E128" s="63"/>
      <c r="M128" s="50"/>
      <c r="N128" s="50"/>
      <c r="O128" s="50"/>
    </row>
  </sheetData>
  <sheetProtection selectLockedCells="1"/>
  <mergeCells count="17">
    <mergeCell ref="C76:H76"/>
    <mergeCell ref="C2:H2"/>
    <mergeCell ref="E6:F6"/>
    <mergeCell ref="G6:H6"/>
    <mergeCell ref="S6:T6"/>
    <mergeCell ref="C97:I97"/>
    <mergeCell ref="C78:H78"/>
    <mergeCell ref="C91:I91"/>
    <mergeCell ref="C92:I92"/>
    <mergeCell ref="C93:I93"/>
    <mergeCell ref="C94:I94"/>
    <mergeCell ref="C96:I96"/>
    <mergeCell ref="C80:H80"/>
    <mergeCell ref="C82:H82"/>
    <mergeCell ref="C86:H86"/>
    <mergeCell ref="C84:H84"/>
    <mergeCell ref="C95:I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E67:F67 G11:H57 G68:H72 E8:F8 E58:F62 E9:F10 G64:H67 G73:H73 G8:H8 G58:H63 G9:H10 E63:F63 E64:F66 E73:F73 H5 D10 D58:D67 F6 H6 G7 G6 H7 D73 D6" unlockedFormula="1"/>
    <ignoredError sqref="E35:F35 E22:F22 E24:F24 E31:F34 E41:F41 E49:F49 D51:F51 E15:F15 D15 D22 D24 D31:D35 D41 D49" formulaRange="1" unlockedFormula="1"/>
    <ignoredError sqref="D7:F7" numberStoredAsText="1" unlockedFormula="1"/>
    <ignoredError sqref="G79:H79 E79:F79 D79 C81:D81 G81:H81 E81:F81" numberStoredAsText="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A110"/>
  <sheetViews>
    <sheetView showGridLines="0" zoomScaleNormal="100" zoomScaleSheetLayoutView="100" workbookViewId="0">
      <selection activeCell="B2" sqref="B2"/>
    </sheetView>
  </sheetViews>
  <sheetFormatPr defaultColWidth="9.140625" defaultRowHeight="12"/>
  <cols>
    <col min="1" max="1" width="2.42578125" style="110" customWidth="1"/>
    <col min="2" max="2" width="4.42578125" style="110" customWidth="1"/>
    <col min="3" max="3" width="39.5703125" style="63" customWidth="1"/>
    <col min="4" max="4" width="9.42578125" style="63" customWidth="1"/>
    <col min="5" max="5" width="9.42578125" style="111" customWidth="1"/>
    <col min="6" max="6" width="9.42578125" style="63" customWidth="1"/>
    <col min="7" max="8" width="9.42578125" style="53" customWidth="1"/>
    <col min="9" max="9" width="16.5703125" style="110" customWidth="1"/>
    <col min="10" max="12" width="8.5703125" style="110" customWidth="1"/>
    <col min="13" max="13" width="9.140625" style="110"/>
    <col min="14" max="14" width="9.5703125" style="110" bestFit="1" customWidth="1"/>
    <col min="15" max="15" width="9.5703125" style="50" bestFit="1" customWidth="1"/>
    <col min="16" max="17" width="9.140625" style="50" customWidth="1"/>
    <col min="18" max="16384" width="9.140625" style="110"/>
  </cols>
  <sheetData>
    <row r="1" spans="2:27" s="50" customFormat="1" ht="15" customHeight="1">
      <c r="B1" s="49"/>
      <c r="C1" s="49"/>
      <c r="D1" s="49"/>
      <c r="E1" s="108"/>
    </row>
    <row r="2" spans="2:27" ht="24" customHeight="1">
      <c r="B2" s="8"/>
      <c r="C2" s="51" t="str">
        <f>IF(Indice_index!$Z$1=1,"10 - Execução Orçamental das Entidades Públicas Reclassificadas da Administração Central","10 - State Owned Enterprises Budget Execution")</f>
        <v>10 - State Owned Enterprises Budget Execution</v>
      </c>
      <c r="D2" s="51"/>
      <c r="E2" s="109"/>
      <c r="F2" s="51"/>
      <c r="G2" s="51"/>
      <c r="H2" s="51"/>
      <c r="O2" s="81"/>
      <c r="Q2" s="81"/>
    </row>
    <row r="3" spans="2:27" s="53" customFormat="1" ht="15" customHeight="1">
      <c r="C3" s="54"/>
      <c r="D3" s="54"/>
      <c r="E3" s="82"/>
      <c r="M3" s="81"/>
      <c r="N3" s="50"/>
      <c r="O3" s="50"/>
    </row>
    <row r="4" spans="2:27" s="53" customFormat="1" ht="15" customHeight="1">
      <c r="E4" s="63"/>
      <c r="M4" s="50"/>
      <c r="N4" s="50"/>
      <c r="O4" s="50"/>
    </row>
    <row r="5" spans="2:27" s="290" customFormat="1" ht="15" customHeight="1">
      <c r="C5" s="681" t="str">
        <f>+'5 - Conta AC + SS'!C5</f>
        <v>Period: January to May</v>
      </c>
      <c r="D5" s="681"/>
      <c r="E5" s="839"/>
      <c r="F5" s="840"/>
      <c r="G5" s="272"/>
      <c r="H5" s="809" t="str">
        <f>IF(Indice_index!$Z$1=1,"€ Milhões","€ Millions")</f>
        <v>€ Millions</v>
      </c>
      <c r="O5" s="249"/>
      <c r="P5" s="249"/>
      <c r="Q5" s="249"/>
    </row>
    <row r="6" spans="2:27" ht="31.5" customHeight="1">
      <c r="C6" s="810"/>
      <c r="D6" s="811" t="str">
        <f>IF(Indice_index!$Z$1=1,"CGE","Final execution")</f>
        <v>Final execution</v>
      </c>
      <c r="E6" s="1693" t="str">
        <f>IF(Indice_index!$Z$1=1,"Execução Acumulada","Accumulated Execution")</f>
        <v>Accumulated Execution</v>
      </c>
      <c r="F6" s="1693"/>
      <c r="G6" s="1676" t="str">
        <f>IF(Indice_index!$Z$1=1,"Variação Homóloga Acumulada","YOY Change Rate")</f>
        <v>YOY Change Rate</v>
      </c>
      <c r="H6" s="1677"/>
      <c r="I6" s="55"/>
    </row>
    <row r="7" spans="2:27" ht="33.75" customHeight="1">
      <c r="C7" s="804"/>
      <c r="D7" s="813" t="s">
        <v>68</v>
      </c>
      <c r="E7" s="814" t="s">
        <v>68</v>
      </c>
      <c r="F7" s="814" t="s">
        <v>75</v>
      </c>
      <c r="G7" s="815" t="str">
        <f>IF(Indice_index!$Z$1=1,"Relativa (%)","Relative change (%)")</f>
        <v>Relative change (%)</v>
      </c>
      <c r="H7" s="816" t="str">
        <f>IF(Indice_index!$Z$1=1,"Contributo VHA (p.p.)","YOY Change Rate Contrib. (p.p.)")</f>
        <v>YOY Change Rate Contrib. (p.p.)</v>
      </c>
      <c r="I7" s="55"/>
    </row>
    <row r="8" spans="2:27" s="87" customFormat="1" ht="4.5" customHeight="1">
      <c r="C8" s="818"/>
      <c r="D8" s="818"/>
      <c r="E8" s="841"/>
      <c r="F8" s="818"/>
      <c r="G8" s="112"/>
      <c r="H8" s="112"/>
      <c r="I8" s="112"/>
      <c r="L8" s="88"/>
    </row>
    <row r="9" spans="2:27" s="290" customFormat="1" ht="15" customHeight="1">
      <c r="C9" s="819" t="str">
        <f>IF(Indice_index!$Z$1=1,"Receita corrente","Current revenue")</f>
        <v>Current revenue</v>
      </c>
      <c r="D9" s="819">
        <f>SUM(D10:D21)-D10-D15</f>
        <v>9396.7781400300009</v>
      </c>
      <c r="E9" s="820">
        <f>SUM(E10:E21)-E10-E15</f>
        <v>3742.2993755499983</v>
      </c>
      <c r="F9" s="820">
        <f>SUM(F10:F21)-F10-F15</f>
        <v>3764.7838619300032</v>
      </c>
      <c r="G9" s="820">
        <f>IF(IFERROR((F9-E9)/E9*100,"")&gt;500,"-",IFERROR((F9-E9)/E9*100,""))</f>
        <v>0.60082008742821136</v>
      </c>
      <c r="H9" s="279">
        <f>IFERROR((F9-E9)/$E$32*100,"-")</f>
        <v>0.53685492301206028</v>
      </c>
      <c r="I9" s="279"/>
      <c r="J9" s="274"/>
      <c r="K9" s="291"/>
      <c r="L9" s="291"/>
      <c r="M9" s="291"/>
      <c r="N9" s="291"/>
      <c r="O9" s="291"/>
      <c r="P9" s="291"/>
      <c r="Q9" s="291"/>
      <c r="R9" s="291"/>
      <c r="S9" s="291"/>
      <c r="T9" s="291"/>
      <c r="U9" s="291"/>
      <c r="V9" s="291"/>
      <c r="W9" s="291"/>
      <c r="X9" s="291"/>
      <c r="Y9" s="291"/>
      <c r="Z9" s="291"/>
      <c r="AA9" s="291"/>
    </row>
    <row r="10" spans="2:27" ht="15" customHeight="1">
      <c r="C10" s="821" t="str">
        <f>IF(Indice_index!$Z$1=1,"Receita Fiscal","Tax")</f>
        <v>Tax</v>
      </c>
      <c r="D10" s="221">
        <f>D11+D12</f>
        <v>185.15344694000001</v>
      </c>
      <c r="E10" s="686">
        <f>E11+E12</f>
        <v>77.508065360000018</v>
      </c>
      <c r="F10" s="686">
        <f>F11+F12</f>
        <v>85.344359560000001</v>
      </c>
      <c r="G10" s="842">
        <f t="shared" ref="G10:G29" si="0">IF(IFERROR((F10-E10)/E10*100,"")&gt;500,"-",IFERROR((F10-E10)/E10*100,""))</f>
        <v>10.110295184898396</v>
      </c>
      <c r="H10" s="842">
        <f t="shared" ref="H10:H20" si="1">IFERROR((F10-E10)/$E$32*100,"-")</f>
        <v>0.18710470180817743</v>
      </c>
      <c r="I10" s="221"/>
      <c r="J10" s="57"/>
      <c r="L10" s="113"/>
      <c r="M10" s="113"/>
      <c r="N10" s="113"/>
      <c r="O10" s="113"/>
      <c r="P10" s="113"/>
      <c r="Q10" s="113"/>
      <c r="R10" s="113"/>
      <c r="S10" s="113"/>
      <c r="T10" s="113"/>
      <c r="U10" s="113"/>
      <c r="V10" s="113"/>
      <c r="W10" s="113"/>
      <c r="X10" s="113"/>
      <c r="Y10" s="113"/>
      <c r="Z10" s="113"/>
      <c r="AA10" s="113"/>
    </row>
    <row r="11" spans="2:27" ht="15" customHeight="1">
      <c r="C11" s="803" t="str">
        <f>IF(Indice_index!$Z$1=1,"Impostos diretos","Direct taxes")</f>
        <v>Direct taxes</v>
      </c>
      <c r="D11" s="221">
        <v>1.5595100000000001E-3</v>
      </c>
      <c r="E11" s="687">
        <v>0</v>
      </c>
      <c r="F11" s="687">
        <v>0</v>
      </c>
      <c r="G11" s="843" t="str">
        <f t="shared" si="0"/>
        <v>-</v>
      </c>
      <c r="H11" s="843">
        <f t="shared" si="1"/>
        <v>0</v>
      </c>
      <c r="I11" s="222"/>
      <c r="J11" s="57"/>
      <c r="K11" s="113"/>
      <c r="L11" s="113"/>
      <c r="M11" s="113"/>
      <c r="N11" s="113"/>
      <c r="O11" s="113"/>
      <c r="P11" s="113"/>
      <c r="Q11" s="113"/>
      <c r="R11" s="113"/>
      <c r="S11" s="113"/>
      <c r="T11" s="113"/>
      <c r="U11" s="113"/>
      <c r="V11" s="113"/>
      <c r="W11" s="113"/>
      <c r="X11" s="113"/>
      <c r="Y11" s="113"/>
      <c r="Z11" s="113"/>
      <c r="AA11" s="113"/>
    </row>
    <row r="12" spans="2:27" ht="15" customHeight="1">
      <c r="C12" s="803" t="str">
        <f>IF(Indice_index!$Z$1=1,"Impostos indiretos","Indirect taxes")</f>
        <v>Indirect taxes</v>
      </c>
      <c r="D12" s="221">
        <v>185.15188743000002</v>
      </c>
      <c r="E12" s="687">
        <v>77.508065360000018</v>
      </c>
      <c r="F12" s="687">
        <v>85.344359560000001</v>
      </c>
      <c r="G12" s="842">
        <f t="shared" si="0"/>
        <v>10.110295184898396</v>
      </c>
      <c r="H12" s="842">
        <f t="shared" si="1"/>
        <v>0.18710470180817743</v>
      </c>
      <c r="I12" s="221"/>
      <c r="J12" s="57"/>
      <c r="K12" s="113"/>
      <c r="L12" s="113"/>
      <c r="M12" s="113"/>
      <c r="N12" s="113"/>
      <c r="O12" s="113"/>
      <c r="P12" s="113"/>
      <c r="Q12" s="113"/>
      <c r="R12" s="113"/>
      <c r="S12" s="113"/>
      <c r="T12" s="113"/>
      <c r="U12" s="113"/>
      <c r="V12" s="113"/>
      <c r="W12" s="113"/>
      <c r="X12" s="113"/>
      <c r="Y12" s="113"/>
      <c r="Z12" s="113"/>
      <c r="AA12" s="113"/>
    </row>
    <row r="13" spans="2:27" ht="15" customHeight="1">
      <c r="C13" s="821" t="str">
        <f>IF(Indice_index!$Z$1=1,"Contribuições para Segurança Social, CGA e ADSE","Social security, CGA and ADSE contributions")</f>
        <v>Social security, CGA and ADSE contributions</v>
      </c>
      <c r="D13" s="221">
        <v>0</v>
      </c>
      <c r="E13" s="687">
        <v>0</v>
      </c>
      <c r="F13" s="687">
        <v>0</v>
      </c>
      <c r="G13" s="843" t="str">
        <f t="shared" si="0"/>
        <v>-</v>
      </c>
      <c r="H13" s="842">
        <f t="shared" si="1"/>
        <v>0</v>
      </c>
      <c r="I13" s="221"/>
      <c r="J13" s="57"/>
      <c r="K13" s="113"/>
      <c r="L13" s="113"/>
      <c r="M13" s="113"/>
      <c r="N13" s="113"/>
      <c r="O13" s="113"/>
      <c r="P13" s="113"/>
      <c r="Q13" s="113"/>
      <c r="R13" s="113"/>
      <c r="S13" s="113"/>
      <c r="T13" s="113"/>
      <c r="U13" s="113"/>
      <c r="V13" s="113"/>
      <c r="W13" s="113"/>
      <c r="X13" s="113"/>
      <c r="Y13" s="113"/>
      <c r="Z13" s="113"/>
      <c r="AA13" s="113"/>
    </row>
    <row r="14" spans="2:27" ht="15" customHeight="1">
      <c r="C14" s="821" t="str">
        <f>IF(Indice_index!$Z$1=1,"Taxas, Multas e Outras Penalidades","Taxes, fines and other penalties")</f>
        <v>Taxes, fines and other penalties</v>
      </c>
      <c r="D14" s="221">
        <v>472.01967056000001</v>
      </c>
      <c r="E14" s="687">
        <v>171.47590149999999</v>
      </c>
      <c r="F14" s="687">
        <v>192.76053375999996</v>
      </c>
      <c r="G14" s="842">
        <f t="shared" si="0"/>
        <v>12.412608462070088</v>
      </c>
      <c r="H14" s="842">
        <f t="shared" si="1"/>
        <v>0.50820638818078268</v>
      </c>
      <c r="I14" s="221"/>
      <c r="J14" s="57"/>
      <c r="K14" s="113"/>
      <c r="L14" s="113"/>
      <c r="M14" s="113"/>
      <c r="N14" s="113"/>
      <c r="O14" s="113"/>
      <c r="P14" s="113"/>
      <c r="Q14" s="113"/>
      <c r="R14" s="113"/>
      <c r="S14" s="113"/>
      <c r="T14" s="113"/>
      <c r="U14" s="113"/>
      <c r="V14" s="113"/>
      <c r="W14" s="113"/>
      <c r="X14" s="113"/>
      <c r="Y14" s="113"/>
      <c r="Z14" s="113"/>
      <c r="AA14" s="113"/>
    </row>
    <row r="15" spans="2:27" ht="15" customHeight="1">
      <c r="C15" s="821" t="str">
        <f>IF(Indice_index!$Z$1=1,"Transferências Correntes","Current transfers")</f>
        <v>Current transfers</v>
      </c>
      <c r="D15" s="221">
        <f>SUM(D16:D19)</f>
        <v>1329.0158478599999</v>
      </c>
      <c r="E15" s="842">
        <f>SUM(E16:E19)</f>
        <v>505.15867155000001</v>
      </c>
      <c r="F15" s="842">
        <f>SUM(F16:F19)</f>
        <v>348.57851875</v>
      </c>
      <c r="G15" s="842">
        <f t="shared" si="0"/>
        <v>-30.996231801694783</v>
      </c>
      <c r="H15" s="842">
        <f t="shared" si="1"/>
        <v>-3.7386144586969339</v>
      </c>
      <c r="I15" s="221"/>
      <c r="J15" s="57"/>
      <c r="K15" s="113"/>
      <c r="L15" s="57"/>
      <c r="M15" s="113"/>
      <c r="N15" s="113"/>
      <c r="O15" s="113"/>
      <c r="P15" s="113"/>
      <c r="Q15" s="113"/>
      <c r="R15" s="113"/>
      <c r="S15" s="113"/>
      <c r="T15" s="113"/>
      <c r="U15" s="113"/>
      <c r="V15" s="113"/>
      <c r="W15" s="113"/>
      <c r="X15" s="113"/>
      <c r="Y15" s="113"/>
      <c r="Z15" s="113"/>
      <c r="AA15" s="113"/>
    </row>
    <row r="16" spans="2:27" ht="15" customHeight="1">
      <c r="C16" s="803" t="str">
        <f>IF(Indice_index!$Z$1=1,"Administração Central","Central Administration")</f>
        <v>Central Administration</v>
      </c>
      <c r="D16" s="221">
        <v>1133.9538990599999</v>
      </c>
      <c r="E16" s="686">
        <v>440.86899791000002</v>
      </c>
      <c r="F16" s="686">
        <v>290.54472600999998</v>
      </c>
      <c r="G16" s="842">
        <f t="shared" si="0"/>
        <v>-34.097265312968908</v>
      </c>
      <c r="H16" s="842">
        <f t="shared" si="1"/>
        <v>-3.5892447821038869</v>
      </c>
      <c r="I16" s="221"/>
      <c r="J16" s="57"/>
      <c r="K16" s="113"/>
      <c r="L16" s="113"/>
      <c r="M16" s="113"/>
      <c r="N16" s="113"/>
      <c r="O16" s="113"/>
      <c r="P16" s="113"/>
      <c r="Q16" s="113"/>
      <c r="R16" s="113"/>
      <c r="S16" s="113"/>
      <c r="T16" s="113"/>
      <c r="U16" s="113"/>
      <c r="V16" s="113"/>
      <c r="W16" s="113"/>
      <c r="X16" s="113"/>
      <c r="Y16" s="113"/>
      <c r="Z16" s="113"/>
      <c r="AA16" s="113"/>
    </row>
    <row r="17" spans="3:27" ht="15" customHeight="1">
      <c r="C17" s="822" t="str">
        <f>IF(Indice_index!$Z$1=1,"Outros subsectores das AP","Other General Government subsectors")</f>
        <v>Other General Government subsectors</v>
      </c>
      <c r="D17" s="221">
        <v>90.66560720999999</v>
      </c>
      <c r="E17" s="687">
        <v>30.13634235</v>
      </c>
      <c r="F17" s="687">
        <v>24.972910779999999</v>
      </c>
      <c r="G17" s="842">
        <f t="shared" si="0"/>
        <v>-17.13357085618587</v>
      </c>
      <c r="H17" s="842">
        <f t="shared" si="1"/>
        <v>-0.12328561173874526</v>
      </c>
      <c r="I17" s="221"/>
      <c r="J17" s="57"/>
      <c r="K17" s="113"/>
      <c r="L17" s="113"/>
      <c r="M17" s="113"/>
      <c r="N17" s="113"/>
      <c r="O17" s="113"/>
      <c r="P17" s="113"/>
      <c r="Q17" s="113"/>
      <c r="R17" s="113"/>
      <c r="S17" s="113"/>
      <c r="T17" s="113"/>
      <c r="U17" s="113"/>
      <c r="V17" s="113"/>
      <c r="W17" s="113"/>
      <c r="X17" s="113"/>
      <c r="Y17" s="113"/>
      <c r="Z17" s="113"/>
      <c r="AA17" s="113"/>
    </row>
    <row r="18" spans="3:27" ht="15" customHeight="1">
      <c r="C18" s="822" t="str">
        <f>IF(Indice_index!$Z$1=1,"União Europeia","European Union")</f>
        <v>European Union</v>
      </c>
      <c r="D18" s="221">
        <v>94.205071340000018</v>
      </c>
      <c r="E18" s="687">
        <v>29.993369879999989</v>
      </c>
      <c r="F18" s="687">
        <v>28.358381769999994</v>
      </c>
      <c r="G18" s="842">
        <f t="shared" si="0"/>
        <v>-5.4511650959575189</v>
      </c>
      <c r="H18" s="842">
        <f t="shared" si="1"/>
        <v>-3.9038090578766838E-2</v>
      </c>
      <c r="I18" s="221"/>
      <c r="J18" s="57"/>
      <c r="K18" s="113"/>
      <c r="L18" s="113"/>
      <c r="M18" s="113"/>
      <c r="N18" s="113"/>
      <c r="O18" s="113"/>
      <c r="P18" s="113"/>
      <c r="Q18" s="113"/>
      <c r="R18" s="113"/>
      <c r="S18" s="113"/>
      <c r="T18" s="113"/>
      <c r="U18" s="113"/>
      <c r="V18" s="113"/>
      <c r="W18" s="113"/>
      <c r="X18" s="113"/>
      <c r="Y18" s="113"/>
      <c r="Z18" s="113"/>
      <c r="AA18" s="113"/>
    </row>
    <row r="19" spans="3:27" ht="15" customHeight="1">
      <c r="C19" s="822" t="str">
        <f>IF(Indice_index!$Z$1=1,"Outras transferências","Other transfers")</f>
        <v>Other transfers</v>
      </c>
      <c r="D19" s="823">
        <v>10.191270250000017</v>
      </c>
      <c r="E19" s="687">
        <v>4.1599614100000082</v>
      </c>
      <c r="F19" s="687">
        <v>4.7025001900000021</v>
      </c>
      <c r="G19" s="842">
        <f t="shared" si="0"/>
        <v>13.041918578758951</v>
      </c>
      <c r="H19" s="842">
        <f t="shared" si="1"/>
        <v>1.2954025724464436E-2</v>
      </c>
      <c r="I19" s="221"/>
      <c r="J19" s="57"/>
      <c r="K19" s="113"/>
      <c r="L19" s="113"/>
      <c r="M19" s="113"/>
      <c r="N19" s="113"/>
      <c r="O19" s="113"/>
      <c r="P19" s="113"/>
      <c r="Q19" s="113"/>
      <c r="R19" s="113"/>
      <c r="S19" s="113"/>
      <c r="T19" s="113"/>
      <c r="U19" s="113"/>
      <c r="V19" s="113"/>
      <c r="W19" s="113"/>
      <c r="X19" s="113"/>
      <c r="Y19" s="113"/>
      <c r="Z19" s="113"/>
      <c r="AA19" s="113"/>
    </row>
    <row r="20" spans="3:27" ht="15" customHeight="1">
      <c r="C20" s="821" t="str">
        <f>IF(Indice_index!$Z$1=1,"Outras Receitas Correntes","Other current revenue")</f>
        <v>Other current revenue</v>
      </c>
      <c r="D20" s="221">
        <v>7410.1790191700011</v>
      </c>
      <c r="E20" s="687">
        <v>2988.1026888599977</v>
      </c>
      <c r="F20" s="687">
        <v>3138.0092998500031</v>
      </c>
      <c r="G20" s="842">
        <f t="shared" si="0"/>
        <v>5.0167824402044525</v>
      </c>
      <c r="H20" s="842">
        <f t="shared" si="1"/>
        <v>3.5792724255247439</v>
      </c>
      <c r="I20" s="221"/>
      <c r="J20" s="57"/>
      <c r="K20" s="113"/>
      <c r="L20" s="113"/>
      <c r="M20" s="113"/>
      <c r="N20" s="113"/>
      <c r="O20" s="113"/>
      <c r="P20" s="113"/>
      <c r="Q20" s="113"/>
      <c r="R20" s="113"/>
      <c r="S20" s="113"/>
      <c r="T20" s="113"/>
      <c r="U20" s="113"/>
      <c r="V20" s="113"/>
      <c r="W20" s="113"/>
      <c r="X20" s="113"/>
      <c r="Y20" s="113"/>
      <c r="Z20" s="113"/>
      <c r="AA20" s="113"/>
    </row>
    <row r="21" spans="3:27" ht="15" customHeight="1">
      <c r="C21" s="791" t="str">
        <f>IF(Indice_index!$Z$1=1,"Diferenças de consolidação","Consolidation differences")</f>
        <v>Consolidation differences</v>
      </c>
      <c r="D21" s="221">
        <v>0.4101554999999999</v>
      </c>
      <c r="E21" s="687">
        <v>5.4048280000000039E-2</v>
      </c>
      <c r="F21" s="687">
        <v>9.1150010000000087E-2</v>
      </c>
      <c r="G21" s="842"/>
      <c r="H21" s="842"/>
      <c r="I21" s="221"/>
      <c r="J21" s="57"/>
      <c r="K21" s="113"/>
      <c r="L21" s="113"/>
      <c r="M21" s="113"/>
      <c r="N21" s="113"/>
      <c r="O21" s="113"/>
      <c r="P21" s="113"/>
      <c r="Q21" s="113"/>
      <c r="R21" s="113"/>
      <c r="S21" s="113"/>
      <c r="T21" s="113"/>
      <c r="U21" s="113"/>
      <c r="V21" s="113"/>
      <c r="W21" s="113"/>
      <c r="X21" s="113"/>
      <c r="Y21" s="113"/>
      <c r="Z21" s="113"/>
      <c r="AA21" s="113"/>
    </row>
    <row r="22" spans="3:27" s="290" customFormat="1" ht="15" customHeight="1">
      <c r="C22" s="819" t="str">
        <f>IF(Indice_index!$Z$1=1,"Receita de capital","Capital revenue")</f>
        <v>Capital revenue</v>
      </c>
      <c r="D22" s="286">
        <f>SUM(D23:D30)-D24</f>
        <v>2002.4088529700009</v>
      </c>
      <c r="E22" s="283">
        <f>SUM(E23:E30)-E24</f>
        <v>445.88730510000005</v>
      </c>
      <c r="F22" s="283">
        <f>SUM(F23:F30)-F24</f>
        <v>534.78275583000004</v>
      </c>
      <c r="G22" s="283">
        <f t="shared" si="0"/>
        <v>19.936753012078519</v>
      </c>
      <c r="H22" s="283">
        <f t="shared" ref="H22:H29" si="2">IFERROR((F22-E22)/$E$32*100,"-")</f>
        <v>2.1225283758412505</v>
      </c>
      <c r="I22" s="286"/>
      <c r="J22" s="274"/>
      <c r="K22" s="291"/>
      <c r="L22" s="291"/>
      <c r="M22" s="291"/>
      <c r="N22" s="291"/>
      <c r="O22" s="291"/>
      <c r="P22" s="291"/>
      <c r="Q22" s="291"/>
      <c r="R22" s="291"/>
      <c r="S22" s="291"/>
      <c r="T22" s="291"/>
      <c r="U22" s="291"/>
      <c r="V22" s="291"/>
      <c r="W22" s="291"/>
      <c r="X22" s="291"/>
      <c r="Y22" s="291"/>
      <c r="Z22" s="291"/>
      <c r="AA22" s="291"/>
    </row>
    <row r="23" spans="3:27" ht="15" customHeight="1">
      <c r="C23" s="821" t="str">
        <f>IF(Indice_index!$Z$1=1,"Venda de bens de investimento","Sale of investment goods")</f>
        <v>Sale of investment goods</v>
      </c>
      <c r="D23" s="223">
        <v>113.09758594000002</v>
      </c>
      <c r="E23" s="687">
        <v>33.164596169999996</v>
      </c>
      <c r="F23" s="687">
        <v>30.778548670000003</v>
      </c>
      <c r="G23" s="687">
        <f t="shared" si="0"/>
        <v>-7.1945622005141789</v>
      </c>
      <c r="H23" s="687">
        <f t="shared" si="2"/>
        <v>-5.6970896522446399E-2</v>
      </c>
      <c r="I23" s="223"/>
      <c r="J23" s="57"/>
      <c r="K23" s="113"/>
      <c r="L23" s="113"/>
      <c r="M23" s="113"/>
      <c r="N23" s="113"/>
      <c r="O23" s="113"/>
      <c r="P23" s="113"/>
      <c r="Q23" s="113"/>
      <c r="R23" s="113"/>
      <c r="S23" s="113"/>
      <c r="T23" s="113"/>
      <c r="U23" s="113"/>
      <c r="V23" s="113"/>
      <c r="W23" s="113"/>
      <c r="X23" s="113"/>
      <c r="Y23" s="113"/>
      <c r="Z23" s="113"/>
      <c r="AA23" s="113"/>
    </row>
    <row r="24" spans="3:27" ht="15" customHeight="1">
      <c r="C24" s="821" t="str">
        <f>IF(Indice_index!$Z$1=1,"Transferências de capital","Capital transfers")</f>
        <v>Capital transfers</v>
      </c>
      <c r="D24" s="223">
        <f>SUM(D25:D28)</f>
        <v>1866.4416001300003</v>
      </c>
      <c r="E24" s="687">
        <f>SUM(E25:E28)</f>
        <v>410.17983731000004</v>
      </c>
      <c r="F24" s="687">
        <f>SUM(F25:F28)</f>
        <v>496.89301483999998</v>
      </c>
      <c r="G24" s="687">
        <f t="shared" si="0"/>
        <v>21.140282783930466</v>
      </c>
      <c r="H24" s="687">
        <f t="shared" si="2"/>
        <v>2.0704229334052089</v>
      </c>
      <c r="I24" s="223"/>
      <c r="J24" s="57"/>
      <c r="K24" s="113"/>
      <c r="L24" s="113"/>
      <c r="M24" s="113"/>
      <c r="N24" s="113"/>
      <c r="O24" s="113"/>
      <c r="P24" s="113"/>
      <c r="Q24" s="113"/>
      <c r="R24" s="113"/>
      <c r="S24" s="113"/>
      <c r="T24" s="113"/>
      <c r="U24" s="113"/>
      <c r="V24" s="113"/>
      <c r="W24" s="113"/>
      <c r="X24" s="113"/>
      <c r="Y24" s="113"/>
      <c r="Z24" s="113"/>
      <c r="AA24" s="113"/>
    </row>
    <row r="25" spans="3:27" ht="15" customHeight="1">
      <c r="C25" s="803" t="str">
        <f>IF(Indice_index!$Z$1=1,"Administração Central","Central Administration")</f>
        <v>Central Administration</v>
      </c>
      <c r="D25" s="223">
        <v>1459.4761759100004</v>
      </c>
      <c r="E25" s="687">
        <v>206.63395602</v>
      </c>
      <c r="F25" s="687">
        <v>236.99251486</v>
      </c>
      <c r="G25" s="687">
        <f t="shared" si="0"/>
        <v>14.691950647773307</v>
      </c>
      <c r="H25" s="687">
        <f t="shared" si="2"/>
        <v>0.72486164430684863</v>
      </c>
      <c r="I25" s="223"/>
      <c r="J25" s="57"/>
      <c r="K25" s="113"/>
      <c r="L25" s="113"/>
      <c r="M25" s="113"/>
      <c r="N25" s="113"/>
      <c r="O25" s="113"/>
      <c r="P25" s="113"/>
      <c r="Q25" s="113"/>
      <c r="R25" s="113"/>
      <c r="S25" s="113"/>
      <c r="T25" s="113"/>
      <c r="U25" s="113"/>
      <c r="V25" s="113"/>
      <c r="W25" s="113"/>
      <c r="X25" s="113"/>
      <c r="Y25" s="113"/>
      <c r="Z25" s="113"/>
      <c r="AA25" s="113"/>
    </row>
    <row r="26" spans="3:27" ht="15" customHeight="1">
      <c r="C26" s="803" t="str">
        <f>IF(Indice_index!$Z$1=1,"Outros subsectores das AP","Other General Government subsectors")</f>
        <v>Other General Government subsectors</v>
      </c>
      <c r="D26" s="223">
        <v>3.2427105000000003</v>
      </c>
      <c r="E26" s="687">
        <v>1.5565002899999998</v>
      </c>
      <c r="F26" s="687">
        <v>0.48010488999999995</v>
      </c>
      <c r="G26" s="687">
        <f t="shared" si="0"/>
        <v>-69.154847378794898</v>
      </c>
      <c r="H26" s="687">
        <f t="shared" si="2"/>
        <v>-2.5700750278708814E-2</v>
      </c>
      <c r="I26" s="223"/>
      <c r="J26" s="57"/>
      <c r="K26" s="113"/>
      <c r="L26" s="113"/>
      <c r="M26" s="113"/>
      <c r="N26" s="113"/>
      <c r="O26" s="113"/>
      <c r="P26" s="113"/>
      <c r="Q26" s="113"/>
      <c r="R26" s="113"/>
      <c r="S26" s="113"/>
      <c r="T26" s="113"/>
      <c r="U26" s="113"/>
      <c r="V26" s="113"/>
      <c r="W26" s="113"/>
      <c r="X26" s="113"/>
      <c r="Y26" s="113"/>
      <c r="Z26" s="113"/>
      <c r="AA26" s="113"/>
    </row>
    <row r="27" spans="3:27" ht="15" customHeight="1">
      <c r="C27" s="803" t="str">
        <f>IF(Indice_index!$Z$1=1,"União Europeia","European Union")</f>
        <v>European Union</v>
      </c>
      <c r="D27" s="223">
        <v>189.50044813999997</v>
      </c>
      <c r="E27" s="687">
        <v>74.407500780000007</v>
      </c>
      <c r="F27" s="687">
        <v>141.73446011000001</v>
      </c>
      <c r="G27" s="687">
        <f t="shared" si="0"/>
        <v>90.484102575982263</v>
      </c>
      <c r="H27" s="687">
        <f t="shared" si="2"/>
        <v>1.6075443733456263</v>
      </c>
      <c r="I27" s="223"/>
      <c r="J27" s="57"/>
      <c r="K27" s="113"/>
      <c r="L27" s="113"/>
      <c r="M27" s="113"/>
      <c r="N27" s="113"/>
      <c r="O27" s="113"/>
      <c r="P27" s="113"/>
      <c r="Q27" s="113"/>
      <c r="R27" s="113"/>
      <c r="S27" s="113"/>
      <c r="T27" s="113"/>
      <c r="U27" s="113"/>
      <c r="V27" s="113"/>
      <c r="W27" s="113"/>
      <c r="X27" s="113"/>
      <c r="Y27" s="113"/>
      <c r="Z27" s="113"/>
      <c r="AA27" s="113"/>
    </row>
    <row r="28" spans="3:27" ht="15" customHeight="1">
      <c r="C28" s="803" t="str">
        <f>IF(Indice_index!$Z$1=1,"Outras transferências","Other transfers")</f>
        <v>Other transfers</v>
      </c>
      <c r="D28" s="223">
        <v>214.22226558000003</v>
      </c>
      <c r="E28" s="687">
        <v>127.58188022</v>
      </c>
      <c r="F28" s="687">
        <v>117.68593497999998</v>
      </c>
      <c r="G28" s="687">
        <f t="shared" si="0"/>
        <v>-7.7565444426243122</v>
      </c>
      <c r="H28" s="687">
        <f t="shared" si="2"/>
        <v>-0.23628233396855619</v>
      </c>
      <c r="I28" s="223"/>
      <c r="J28" s="57"/>
      <c r="K28" s="113"/>
      <c r="L28" s="113"/>
      <c r="M28" s="113"/>
      <c r="N28" s="113"/>
      <c r="O28" s="113"/>
      <c r="P28" s="113"/>
      <c r="Q28" s="113"/>
      <c r="R28" s="113"/>
      <c r="S28" s="113"/>
      <c r="T28" s="113"/>
      <c r="U28" s="113"/>
      <c r="V28" s="113"/>
      <c r="W28" s="113"/>
      <c r="X28" s="113"/>
      <c r="Y28" s="113"/>
      <c r="Z28" s="113"/>
      <c r="AA28" s="113"/>
    </row>
    <row r="29" spans="3:27" ht="15" customHeight="1">
      <c r="C29" s="821" t="str">
        <f>IF(Indice_index!$Z$1=1,"Outras Receitas de Capital","Other capital revenue")</f>
        <v>Other capital revenue</v>
      </c>
      <c r="D29" s="223">
        <v>22.869666899999999</v>
      </c>
      <c r="E29" s="687">
        <v>2.5428716200000001</v>
      </c>
      <c r="F29" s="687">
        <v>7.1111923200000007</v>
      </c>
      <c r="G29" s="687">
        <f t="shared" si="0"/>
        <v>179.65203843047337</v>
      </c>
      <c r="H29" s="687">
        <f t="shared" si="2"/>
        <v>0.10907633895848709</v>
      </c>
      <c r="I29" s="223"/>
      <c r="J29" s="57"/>
      <c r="K29" s="113"/>
      <c r="L29" s="113"/>
      <c r="M29" s="113"/>
      <c r="N29" s="113"/>
      <c r="O29" s="113"/>
      <c r="P29" s="113"/>
      <c r="Q29" s="113"/>
      <c r="R29" s="113"/>
      <c r="S29" s="113"/>
      <c r="T29" s="113"/>
      <c r="U29" s="113"/>
      <c r="V29" s="113"/>
      <c r="W29" s="113"/>
      <c r="X29" s="113"/>
      <c r="Y29" s="113"/>
      <c r="Z29" s="113"/>
      <c r="AA29" s="113"/>
    </row>
    <row r="30" spans="3:27" ht="15" customHeight="1">
      <c r="C30" s="791" t="str">
        <f>IF(Indice_index!$Z$1=1,"Diferenças de consolidação","Consolidation differences")</f>
        <v>Consolidation differences</v>
      </c>
      <c r="D30" s="223">
        <v>0</v>
      </c>
      <c r="E30" s="687">
        <v>0</v>
      </c>
      <c r="F30" s="687">
        <v>0</v>
      </c>
      <c r="G30" s="687"/>
      <c r="H30" s="687"/>
      <c r="I30" s="223"/>
      <c r="J30" s="57"/>
      <c r="K30" s="113"/>
      <c r="L30" s="113"/>
      <c r="M30" s="113"/>
      <c r="N30" s="113"/>
      <c r="O30" s="113"/>
      <c r="P30" s="113"/>
      <c r="Q30" s="113"/>
      <c r="R30" s="113"/>
      <c r="S30" s="113"/>
      <c r="T30" s="113"/>
      <c r="U30" s="113"/>
      <c r="V30" s="113"/>
      <c r="W30" s="113"/>
      <c r="X30" s="113"/>
      <c r="Y30" s="113"/>
      <c r="Z30" s="113"/>
      <c r="AA30" s="113"/>
    </row>
    <row r="31" spans="3:27" ht="4.5" customHeight="1">
      <c r="C31" s="803"/>
      <c r="D31" s="803"/>
      <c r="E31" s="224"/>
      <c r="F31" s="224"/>
      <c r="G31" s="224"/>
      <c r="H31" s="224"/>
      <c r="I31" s="224"/>
      <c r="J31" s="57"/>
      <c r="K31" s="113"/>
      <c r="L31" s="113"/>
      <c r="M31" s="113"/>
      <c r="N31" s="113"/>
      <c r="O31" s="113"/>
      <c r="P31" s="113"/>
      <c r="Q31" s="113"/>
      <c r="R31" s="113"/>
      <c r="S31" s="113"/>
      <c r="T31" s="113"/>
      <c r="U31" s="113"/>
      <c r="V31" s="113"/>
      <c r="W31" s="113"/>
      <c r="X31" s="113"/>
      <c r="Y31" s="113"/>
      <c r="Z31" s="113"/>
      <c r="AA31" s="113"/>
    </row>
    <row r="32" spans="3:27" s="290" customFormat="1" ht="15" customHeight="1">
      <c r="C32" s="824" t="str">
        <f>IF(Indice_index!$Z$1=1,"Receita efetiva","Effective revenue")</f>
        <v>Effective revenue</v>
      </c>
      <c r="D32" s="824">
        <f>+D9+D22</f>
        <v>11399.186993000001</v>
      </c>
      <c r="E32" s="825">
        <f>+E9+E22</f>
        <v>4188.1866806499984</v>
      </c>
      <c r="F32" s="825">
        <f>+F9+F22</f>
        <v>4299.5666177600033</v>
      </c>
      <c r="G32" s="825">
        <f t="shared" ref="G32" si="3">IFERROR(IF(E32=0,"-",(F32-E32)/E32*100),"-")</f>
        <v>2.6593832988533106</v>
      </c>
      <c r="H32" s="825"/>
      <c r="I32" s="283"/>
      <c r="J32" s="274"/>
      <c r="K32" s="291"/>
      <c r="L32" s="291"/>
      <c r="M32" s="291"/>
      <c r="N32" s="291"/>
      <c r="O32" s="291"/>
      <c r="P32" s="291"/>
      <c r="Q32" s="291"/>
      <c r="R32" s="291"/>
      <c r="S32" s="291"/>
      <c r="T32" s="291"/>
      <c r="U32" s="291"/>
      <c r="V32" s="291"/>
      <c r="W32" s="291"/>
      <c r="X32" s="291"/>
      <c r="Y32" s="291"/>
      <c r="Z32" s="291"/>
      <c r="AA32" s="291"/>
    </row>
    <row r="33" spans="3:27" ht="4.5" customHeight="1">
      <c r="C33" s="803"/>
      <c r="D33" s="803"/>
      <c r="E33" s="687"/>
      <c r="F33" s="687"/>
      <c r="G33" s="687"/>
      <c r="H33" s="112"/>
      <c r="I33" s="112"/>
      <c r="J33" s="57"/>
      <c r="K33" s="113"/>
      <c r="L33" s="113"/>
      <c r="M33" s="113"/>
      <c r="N33" s="113"/>
      <c r="O33" s="113"/>
      <c r="P33" s="113"/>
      <c r="Q33" s="113"/>
      <c r="R33" s="113"/>
      <c r="S33" s="113"/>
      <c r="T33" s="113"/>
      <c r="U33" s="113"/>
      <c r="V33" s="113"/>
      <c r="W33" s="113"/>
      <c r="X33" s="113"/>
      <c r="Y33" s="113"/>
      <c r="Z33" s="113"/>
      <c r="AA33" s="113"/>
    </row>
    <row r="34" spans="3:27" s="290" customFormat="1" ht="15" customHeight="1">
      <c r="C34" s="819" t="str">
        <f>IF(Indice_index!$Z$1=1,"Despesa corrente","Current Expenditure")</f>
        <v>Current Expenditure</v>
      </c>
      <c r="D34" s="819">
        <f>SUM(D35:D48)-D35-D41</f>
        <v>10465.24084210999</v>
      </c>
      <c r="E34" s="283">
        <f>SUM(E35:E48)-E35-E41</f>
        <v>3411.073964679998</v>
      </c>
      <c r="F34" s="283">
        <f>SUM(F35:F48)-F35-F41</f>
        <v>3396.8364814499964</v>
      </c>
      <c r="G34" s="283">
        <f t="shared" ref="G34:G56" si="4">IF(IFERROR((F34-E34)/E34*100,"")&gt;500,"-",IFERROR((F34-E34)/E34*100,""))</f>
        <v>-0.41739004716472633</v>
      </c>
      <c r="H34" s="283">
        <f>IFERROR((F34-E34)/$E$59*100,"-")</f>
        <v>-0.32497832869268745</v>
      </c>
      <c r="I34" s="283"/>
      <c r="J34" s="274"/>
      <c r="K34" s="291"/>
      <c r="L34" s="291"/>
      <c r="M34" s="291"/>
      <c r="N34" s="291"/>
      <c r="O34" s="291"/>
      <c r="P34" s="291"/>
      <c r="Q34" s="291"/>
      <c r="R34" s="291"/>
      <c r="S34" s="291"/>
      <c r="T34" s="291"/>
      <c r="U34" s="291"/>
      <c r="V34" s="291"/>
      <c r="W34" s="291"/>
      <c r="X34" s="291"/>
      <c r="Y34" s="291"/>
      <c r="Z34" s="291"/>
      <c r="AA34" s="291"/>
    </row>
    <row r="35" spans="3:27" ht="15" customHeight="1">
      <c r="C35" s="821" t="str">
        <f>IF(Indice_index!$Z$1=1,"Despesas com o pessoal","Employees")</f>
        <v>Employees</v>
      </c>
      <c r="D35" s="223">
        <f t="shared" ref="D35:F35" si="5">SUM(D36:D38)</f>
        <v>5038.6905779799999</v>
      </c>
      <c r="E35" s="687">
        <f>SUM(E36:E38)</f>
        <v>1843.90050208</v>
      </c>
      <c r="F35" s="687">
        <f t="shared" si="5"/>
        <v>1853.4408035399983</v>
      </c>
      <c r="G35" s="687">
        <f t="shared" si="4"/>
        <v>0.51739784490738205</v>
      </c>
      <c r="H35" s="687">
        <f t="shared" ref="H35:H47" si="6">IFERROR((F35-E35)/$E$59*100,"-")</f>
        <v>0.21776259003146323</v>
      </c>
      <c r="I35" s="223"/>
      <c r="J35" s="57"/>
      <c r="K35" s="113"/>
      <c r="L35" s="113"/>
      <c r="M35" s="113"/>
      <c r="N35" s="113"/>
      <c r="O35" s="113"/>
      <c r="P35" s="113"/>
      <c r="Q35" s="113"/>
      <c r="R35" s="113"/>
      <c r="S35" s="113"/>
      <c r="T35" s="113"/>
      <c r="U35" s="113"/>
      <c r="V35" s="113"/>
      <c r="W35" s="113"/>
      <c r="X35" s="113"/>
      <c r="Y35" s="113"/>
      <c r="Z35" s="113"/>
      <c r="AA35" s="113"/>
    </row>
    <row r="36" spans="3:27" ht="15" customHeight="1">
      <c r="C36" s="803" t="str">
        <f>IF(Indice_index!$Z$1=1,"Remunerações Certas e Permanentes","Certain and permanent wages")</f>
        <v>Certain and permanent wages</v>
      </c>
      <c r="D36" s="223">
        <v>3313.24489253</v>
      </c>
      <c r="E36" s="687">
        <v>1183.1868635799999</v>
      </c>
      <c r="F36" s="687">
        <v>1205.0991572799985</v>
      </c>
      <c r="G36" s="687">
        <f t="shared" si="4"/>
        <v>1.8519723616350836</v>
      </c>
      <c r="H36" s="687">
        <f t="shared" si="6"/>
        <v>0.5001600682797136</v>
      </c>
      <c r="I36" s="223"/>
      <c r="J36" s="57"/>
      <c r="K36" s="113"/>
      <c r="L36" s="113"/>
      <c r="M36" s="113"/>
      <c r="N36" s="113"/>
      <c r="O36" s="113"/>
      <c r="P36" s="113"/>
      <c r="Q36" s="113"/>
      <c r="R36" s="113"/>
      <c r="S36" s="113"/>
      <c r="T36" s="113"/>
      <c r="U36" s="113"/>
      <c r="V36" s="113"/>
      <c r="W36" s="113"/>
      <c r="X36" s="113"/>
      <c r="Y36" s="113"/>
      <c r="Z36" s="113"/>
      <c r="AA36" s="113"/>
    </row>
    <row r="37" spans="3:27" ht="15" customHeight="1">
      <c r="C37" s="803" t="str">
        <f>IF(Indice_index!$Z$1=1,"Abonos Variáveis ou Eventuais","Variable or contingent bonuses")</f>
        <v>Variable or contingent bonuses</v>
      </c>
      <c r="D37" s="223">
        <v>759.07758084000011</v>
      </c>
      <c r="E37" s="687">
        <v>315.26144850999992</v>
      </c>
      <c r="F37" s="687">
        <v>302.77178091999991</v>
      </c>
      <c r="G37" s="687">
        <f t="shared" si="4"/>
        <v>-3.9616856577387214</v>
      </c>
      <c r="H37" s="687">
        <f t="shared" si="6"/>
        <v>-0.28508348236523184</v>
      </c>
      <c r="I37" s="223"/>
      <c r="J37" s="57"/>
      <c r="K37" s="113"/>
      <c r="L37" s="113"/>
      <c r="M37" s="113"/>
      <c r="N37" s="113"/>
      <c r="O37" s="113"/>
      <c r="P37" s="113"/>
      <c r="Q37" s="113"/>
      <c r="R37" s="113"/>
      <c r="S37" s="113"/>
      <c r="T37" s="113"/>
      <c r="U37" s="113"/>
      <c r="V37" s="113"/>
      <c r="W37" s="113"/>
      <c r="X37" s="113"/>
      <c r="Y37" s="113"/>
      <c r="Z37" s="113"/>
      <c r="AA37" s="113"/>
    </row>
    <row r="38" spans="3:27" ht="15" customHeight="1">
      <c r="C38" s="803" t="str">
        <f>IF(Indice_index!$Z$1=1,"Segurança social","Social security")</f>
        <v>Social security</v>
      </c>
      <c r="D38" s="223">
        <v>966.36810461000027</v>
      </c>
      <c r="E38" s="687">
        <v>345.45218999000002</v>
      </c>
      <c r="F38" s="687">
        <v>345.56986533999992</v>
      </c>
      <c r="G38" s="687">
        <f t="shared" si="4"/>
        <v>3.4064149369933329E-2</v>
      </c>
      <c r="H38" s="687">
        <f>IFERROR((F38-E38)/$E$59*100,"-")</f>
        <v>2.6860041169853742E-3</v>
      </c>
      <c r="I38" s="223"/>
      <c r="J38" s="57"/>
      <c r="K38" s="113"/>
      <c r="L38" s="113"/>
      <c r="M38" s="113"/>
      <c r="N38" s="113"/>
      <c r="O38" s="113"/>
      <c r="P38" s="113"/>
      <c r="Q38" s="113"/>
      <c r="R38" s="113"/>
      <c r="S38" s="113"/>
      <c r="T38" s="113"/>
      <c r="U38" s="113"/>
      <c r="V38" s="113"/>
      <c r="W38" s="113"/>
      <c r="X38" s="113"/>
      <c r="Y38" s="113"/>
      <c r="Z38" s="113"/>
      <c r="AA38" s="113"/>
    </row>
    <row r="39" spans="3:27" ht="15" customHeight="1">
      <c r="C39" s="821" t="str">
        <f>IF(Indice_index!$Z$1=1,"Aquisição de bens e serviços","Purchase of goods and services")</f>
        <v>Purchase of goods and services</v>
      </c>
      <c r="D39" s="223">
        <v>4566.1307005299896</v>
      </c>
      <c r="E39" s="687">
        <v>1339.1306553999993</v>
      </c>
      <c r="F39" s="687">
        <v>1410.8631885599993</v>
      </c>
      <c r="G39" s="687">
        <f t="shared" si="4"/>
        <v>5.3566493210159125</v>
      </c>
      <c r="H39" s="687">
        <f t="shared" si="6"/>
        <v>1.6373342368619634</v>
      </c>
      <c r="I39" s="223"/>
      <c r="J39" s="57"/>
      <c r="K39" s="113"/>
      <c r="L39" s="113"/>
      <c r="M39" s="113"/>
      <c r="N39" s="113"/>
      <c r="O39" s="113"/>
      <c r="P39" s="113"/>
      <c r="Q39" s="113"/>
      <c r="R39" s="113"/>
      <c r="S39" s="113"/>
      <c r="T39" s="113"/>
      <c r="U39" s="113"/>
      <c r="V39" s="113"/>
      <c r="W39" s="113"/>
      <c r="X39" s="113"/>
      <c r="Y39" s="113"/>
      <c r="Z39" s="113"/>
      <c r="AA39" s="113"/>
    </row>
    <row r="40" spans="3:27" ht="15" customHeight="1">
      <c r="C40" s="821" t="str">
        <f>IF(Indice_index!$Z$1=1,"Juros e outros encargos","Interests")</f>
        <v>Interests</v>
      </c>
      <c r="D40" s="223">
        <v>619.68711370999995</v>
      </c>
      <c r="E40" s="687">
        <v>166.00894661000001</v>
      </c>
      <c r="F40" s="687">
        <v>66.837146000000004</v>
      </c>
      <c r="G40" s="687">
        <f t="shared" si="4"/>
        <v>-59.738828921661337</v>
      </c>
      <c r="H40" s="687">
        <f t="shared" si="6"/>
        <v>-2.2636504988303852</v>
      </c>
      <c r="I40" s="223"/>
      <c r="J40" s="57"/>
      <c r="K40" s="113"/>
      <c r="L40" s="113"/>
      <c r="M40" s="113"/>
      <c r="N40" s="113"/>
      <c r="O40" s="113"/>
      <c r="P40" s="113"/>
      <c r="Q40" s="113"/>
      <c r="R40" s="113"/>
      <c r="S40" s="113"/>
      <c r="T40" s="113"/>
      <c r="U40" s="113"/>
      <c r="V40" s="113"/>
      <c r="W40" s="113"/>
      <c r="X40" s="113"/>
      <c r="Y40" s="113"/>
      <c r="Z40" s="113"/>
      <c r="AA40" s="113"/>
    </row>
    <row r="41" spans="3:27" ht="15" customHeight="1">
      <c r="C41" s="821" t="str">
        <f>IF(Indice_index!$Z$1=1,"Transferências correntes","Current transfers")</f>
        <v>Current transfers</v>
      </c>
      <c r="D41" s="114">
        <f>SUM(D42:D45)</f>
        <v>51.248088850000002</v>
      </c>
      <c r="E41" s="686">
        <f>SUM(E42:E45)</f>
        <v>19.450838510000004</v>
      </c>
      <c r="F41" s="686">
        <f>SUM(F42:F45)</f>
        <v>23.970167710000009</v>
      </c>
      <c r="G41" s="686">
        <f t="shared" si="4"/>
        <v>23.234624037809688</v>
      </c>
      <c r="H41" s="686">
        <f t="shared" si="6"/>
        <v>0.10315615663962419</v>
      </c>
      <c r="I41" s="114"/>
      <c r="J41" s="57"/>
      <c r="K41" s="113"/>
      <c r="L41" s="113"/>
      <c r="M41" s="113"/>
      <c r="N41" s="113"/>
      <c r="O41" s="113"/>
      <c r="P41" s="113"/>
      <c r="Q41" s="113"/>
      <c r="R41" s="113"/>
      <c r="S41" s="113"/>
      <c r="T41" s="113"/>
      <c r="U41" s="113"/>
      <c r="V41" s="113"/>
      <c r="W41" s="113"/>
      <c r="X41" s="113"/>
      <c r="Y41" s="113"/>
      <c r="Z41" s="113"/>
      <c r="AA41" s="113"/>
    </row>
    <row r="42" spans="3:27" ht="15" customHeight="1">
      <c r="C42" s="803" t="str">
        <f>IF(Indice_index!$Z$1=1,"Administração Central","Central Administration")</f>
        <v>Central Administration</v>
      </c>
      <c r="D42" s="114">
        <v>0.70975048000000018</v>
      </c>
      <c r="E42" s="687">
        <v>0.13276833999999998</v>
      </c>
      <c r="F42" s="687">
        <v>0.19342228000000003</v>
      </c>
      <c r="G42" s="687">
        <f t="shared" si="4"/>
        <v>45.68403883034167</v>
      </c>
      <c r="H42" s="686">
        <f t="shared" si="6"/>
        <v>1.3844592988380587E-3</v>
      </c>
      <c r="I42" s="114"/>
      <c r="J42" s="57"/>
      <c r="K42" s="113"/>
      <c r="L42" s="113"/>
      <c r="M42" s="113"/>
      <c r="N42" s="113"/>
      <c r="O42" s="113"/>
      <c r="P42" s="113"/>
      <c r="Q42" s="113"/>
      <c r="R42" s="113"/>
      <c r="S42" s="113"/>
      <c r="T42" s="113"/>
      <c r="U42" s="113"/>
      <c r="V42" s="113"/>
      <c r="W42" s="113"/>
      <c r="X42" s="113"/>
      <c r="Y42" s="113"/>
      <c r="Z42" s="113"/>
      <c r="AA42" s="113"/>
    </row>
    <row r="43" spans="3:27" ht="15" customHeight="1">
      <c r="C43" s="803" t="str">
        <f>IF(Indice_index!$Z$1=1,"Outros subsectores das AP","Other General Government subsectors")</f>
        <v>Other General Government subsectors</v>
      </c>
      <c r="D43" s="223">
        <v>0.29586607999999998</v>
      </c>
      <c r="E43" s="687">
        <v>4.3732700000000003E-3</v>
      </c>
      <c r="F43" s="687">
        <v>0.33718791999999997</v>
      </c>
      <c r="G43" s="687" t="str">
        <f t="shared" si="4"/>
        <v>-</v>
      </c>
      <c r="H43" s="687">
        <f t="shared" si="6"/>
        <v>7.5966761101098068E-3</v>
      </c>
      <c r="I43" s="223"/>
      <c r="J43" s="57"/>
      <c r="K43" s="113"/>
      <c r="L43" s="113"/>
      <c r="M43" s="113"/>
      <c r="N43" s="113"/>
      <c r="O43" s="113"/>
      <c r="P43" s="113"/>
      <c r="Q43" s="113"/>
      <c r="R43" s="113"/>
      <c r="S43" s="113"/>
      <c r="T43" s="113"/>
      <c r="U43" s="113"/>
      <c r="V43" s="113"/>
      <c r="W43" s="113"/>
      <c r="X43" s="113"/>
      <c r="Y43" s="113"/>
      <c r="Z43" s="113"/>
      <c r="AA43" s="113"/>
    </row>
    <row r="44" spans="3:27" ht="15" customHeight="1">
      <c r="C44" s="803" t="str">
        <f>IF(Indice_index!$Z$1=1,"União Europeia","European Union")</f>
        <v>European Union</v>
      </c>
      <c r="D44" s="223">
        <v>1.54922659</v>
      </c>
      <c r="E44" s="687">
        <v>0.59542339</v>
      </c>
      <c r="F44" s="687">
        <v>0.35553699000000005</v>
      </c>
      <c r="G44" s="687">
        <f t="shared" si="4"/>
        <v>-40.288373622675444</v>
      </c>
      <c r="H44" s="687">
        <f t="shared" si="6"/>
        <v>-5.4755380630637637E-3</v>
      </c>
      <c r="I44" s="223"/>
      <c r="J44" s="57"/>
      <c r="K44" s="113"/>
      <c r="L44" s="113"/>
      <c r="M44" s="113"/>
      <c r="N44" s="113"/>
      <c r="O44" s="113"/>
      <c r="P44" s="113"/>
      <c r="Q44" s="113"/>
      <c r="R44" s="113"/>
      <c r="S44" s="113"/>
      <c r="T44" s="113"/>
      <c r="U44" s="113"/>
      <c r="V44" s="113"/>
      <c r="W44" s="113"/>
      <c r="X44" s="113"/>
      <c r="Y44" s="113"/>
      <c r="Z44" s="113"/>
      <c r="AA44" s="113"/>
    </row>
    <row r="45" spans="3:27" ht="15" customHeight="1">
      <c r="C45" s="803" t="str">
        <f>IF(Indice_index!$Z$1=1,"Outras transferências","Other transfers")</f>
        <v>Other transfers</v>
      </c>
      <c r="D45" s="223">
        <v>48.693245700000006</v>
      </c>
      <c r="E45" s="687">
        <v>18.718273510000003</v>
      </c>
      <c r="F45" s="687">
        <v>23.08402052000001</v>
      </c>
      <c r="G45" s="687">
        <f t="shared" si="4"/>
        <v>23.323449182787403</v>
      </c>
      <c r="H45" s="687">
        <f t="shared" si="6"/>
        <v>9.9650559293740143E-2</v>
      </c>
      <c r="I45" s="223"/>
      <c r="J45" s="57"/>
      <c r="K45" s="113"/>
      <c r="L45" s="113"/>
      <c r="M45" s="113"/>
      <c r="N45" s="113"/>
      <c r="O45" s="113"/>
      <c r="P45" s="113"/>
      <c r="Q45" s="113"/>
      <c r="R45" s="113"/>
      <c r="S45" s="113"/>
      <c r="T45" s="113"/>
      <c r="U45" s="113"/>
      <c r="V45" s="113"/>
      <c r="W45" s="113"/>
      <c r="X45" s="113"/>
      <c r="Y45" s="113"/>
      <c r="Z45" s="113"/>
      <c r="AA45" s="113"/>
    </row>
    <row r="46" spans="3:27" ht="15" customHeight="1">
      <c r="C46" s="821" t="str">
        <f>IF(Indice_index!$Z$1=1,"Subsídios","Subsidies")</f>
        <v>Subsidies</v>
      </c>
      <c r="D46" s="223">
        <v>35.056839529999998</v>
      </c>
      <c r="E46" s="687">
        <v>15.408022689999999</v>
      </c>
      <c r="F46" s="687">
        <v>13.81385601</v>
      </c>
      <c r="G46" s="687">
        <f t="shared" si="4"/>
        <v>-10.346341721281558</v>
      </c>
      <c r="H46" s="687">
        <f t="shared" si="6"/>
        <v>-3.6387724919828668E-2</v>
      </c>
      <c r="I46" s="223"/>
      <c r="J46" s="57"/>
      <c r="K46" s="113"/>
      <c r="L46" s="113"/>
      <c r="M46" s="113"/>
      <c r="N46" s="113"/>
      <c r="O46" s="113"/>
      <c r="P46" s="113"/>
      <c r="Q46" s="113"/>
      <c r="R46" s="113"/>
      <c r="S46" s="113"/>
      <c r="T46" s="113"/>
      <c r="U46" s="113"/>
      <c r="V46" s="113"/>
      <c r="W46" s="113"/>
      <c r="X46" s="113"/>
      <c r="Y46" s="113"/>
      <c r="Z46" s="113"/>
      <c r="AA46" s="113"/>
    </row>
    <row r="47" spans="3:27" ht="15" customHeight="1">
      <c r="C47" s="821" t="str">
        <f>IF(Indice_index!$Z$1=1,"Outras despesas correntes","Other current expenditure")</f>
        <v>Other current expenditure</v>
      </c>
      <c r="D47" s="223">
        <v>139.86708230999997</v>
      </c>
      <c r="E47" s="687">
        <v>23.490458390000011</v>
      </c>
      <c r="F47" s="687">
        <v>27.438750839999997</v>
      </c>
      <c r="G47" s="687">
        <f t="shared" si="4"/>
        <v>16.808068980385631</v>
      </c>
      <c r="H47" s="687">
        <f t="shared" si="6"/>
        <v>9.0121931022693294E-2</v>
      </c>
      <c r="I47" s="223"/>
      <c r="J47" s="57"/>
      <c r="K47" s="113"/>
      <c r="L47" s="113"/>
      <c r="M47" s="113"/>
      <c r="N47" s="113"/>
      <c r="O47" s="113"/>
      <c r="P47" s="113"/>
      <c r="Q47" s="113"/>
      <c r="R47" s="113"/>
      <c r="S47" s="113"/>
      <c r="T47" s="113"/>
      <c r="U47" s="113"/>
      <c r="V47" s="113"/>
      <c r="W47" s="113"/>
      <c r="X47" s="113"/>
      <c r="Y47" s="113"/>
      <c r="Z47" s="113"/>
      <c r="AA47" s="113"/>
    </row>
    <row r="48" spans="3:27" ht="15" customHeight="1">
      <c r="C48" s="791" t="str">
        <f>IF(Indice_index!$Z$1=1,"Diferenças de consolidação","Consolidation differences")</f>
        <v>Consolidation differences</v>
      </c>
      <c r="D48" s="223">
        <v>14.560439200000019</v>
      </c>
      <c r="E48" s="687">
        <v>3.6845409999999923</v>
      </c>
      <c r="F48" s="687">
        <v>0.47256878999999685</v>
      </c>
      <c r="G48" s="687"/>
      <c r="H48" s="687"/>
      <c r="I48" s="223"/>
      <c r="J48" s="57"/>
      <c r="K48" s="113"/>
      <c r="L48" s="113"/>
      <c r="M48" s="113"/>
      <c r="N48" s="113"/>
      <c r="O48" s="113"/>
      <c r="P48" s="113"/>
      <c r="Q48" s="113"/>
      <c r="R48" s="113"/>
      <c r="S48" s="113"/>
      <c r="T48" s="113"/>
      <c r="U48" s="113"/>
      <c r="V48" s="113"/>
      <c r="W48" s="113"/>
      <c r="X48" s="113"/>
      <c r="Y48" s="113"/>
      <c r="Z48" s="113"/>
      <c r="AA48" s="113"/>
    </row>
    <row r="49" spans="3:27" s="290" customFormat="1" ht="15" customHeight="1">
      <c r="C49" s="819" t="str">
        <f>IF(Indice_index!$Z$1=1,"Despesa de capital","Capital expenditure")</f>
        <v>Capital expenditure</v>
      </c>
      <c r="D49" s="283">
        <f>SUM(D50:D57)-D51</f>
        <v>3046.2541082200014</v>
      </c>
      <c r="E49" s="283">
        <f>SUM(E50:E57)-E51</f>
        <v>969.98223906000021</v>
      </c>
      <c r="F49" s="283">
        <f>SUM(F50:F57)-F51</f>
        <v>955.00616887000012</v>
      </c>
      <c r="G49" s="283">
        <f t="shared" si="4"/>
        <v>-1.543953032017704</v>
      </c>
      <c r="H49" s="283">
        <f t="shared" ref="H49:H56" si="7">IFERROR((F49-E49)/$E$59*100,"-")</f>
        <v>-0.34183697933880397</v>
      </c>
      <c r="I49" s="283"/>
      <c r="J49" s="274"/>
      <c r="K49" s="291"/>
      <c r="L49" s="291"/>
      <c r="M49" s="291"/>
      <c r="N49" s="291"/>
      <c r="O49" s="291"/>
      <c r="P49" s="291"/>
      <c r="Q49" s="291"/>
      <c r="R49" s="291"/>
      <c r="S49" s="291"/>
      <c r="T49" s="291"/>
      <c r="U49" s="291"/>
      <c r="V49" s="291"/>
      <c r="W49" s="291"/>
      <c r="X49" s="291"/>
      <c r="Y49" s="291"/>
      <c r="Z49" s="291"/>
      <c r="AA49" s="291"/>
    </row>
    <row r="50" spans="3:27" ht="15" customHeight="1">
      <c r="C50" s="821" t="str">
        <f>IF(Indice_index!$Z$1=1,"Investimento","Investment")</f>
        <v>Investment</v>
      </c>
      <c r="D50" s="223">
        <v>2474.2748304400011</v>
      </c>
      <c r="E50" s="687">
        <v>968.20928602000026</v>
      </c>
      <c r="F50" s="687">
        <v>951.26874293000014</v>
      </c>
      <c r="G50" s="687">
        <f t="shared" si="4"/>
        <v>-1.7496778160058031</v>
      </c>
      <c r="H50" s="687">
        <f t="shared" si="7"/>
        <v>-0.38667714592518587</v>
      </c>
      <c r="I50" s="223"/>
      <c r="J50" s="57"/>
      <c r="K50" s="113"/>
      <c r="L50" s="113"/>
      <c r="M50" s="113"/>
      <c r="N50" s="113"/>
      <c r="O50" s="113"/>
      <c r="P50" s="113"/>
      <c r="Q50" s="113"/>
      <c r="R50" s="113"/>
      <c r="S50" s="113"/>
      <c r="T50" s="113"/>
      <c r="U50" s="113"/>
      <c r="V50" s="113"/>
      <c r="W50" s="113"/>
      <c r="X50" s="113"/>
      <c r="Y50" s="113"/>
      <c r="Z50" s="113"/>
      <c r="AA50" s="113"/>
    </row>
    <row r="51" spans="3:27" ht="15" customHeight="1">
      <c r="C51" s="821" t="str">
        <f>IF(Indice_index!$Z$1=1,"Transferências de capital","Capital transfers")</f>
        <v>Capital transfers</v>
      </c>
      <c r="D51" s="223">
        <f>SUM(D52:D55)</f>
        <v>568.08653376000007</v>
      </c>
      <c r="E51" s="687">
        <f>SUM(E52:E55)</f>
        <v>1.7301720399999998</v>
      </c>
      <c r="F51" s="687">
        <f>SUM(F52:F55)</f>
        <v>3.7230389399999999</v>
      </c>
      <c r="G51" s="687">
        <f t="shared" si="4"/>
        <v>115.1831640973692</v>
      </c>
      <c r="H51" s="686">
        <f t="shared" si="7"/>
        <v>4.5488275140107531E-2</v>
      </c>
      <c r="I51" s="114"/>
      <c r="J51" s="57"/>
      <c r="K51" s="113"/>
      <c r="L51" s="113"/>
      <c r="M51" s="113"/>
      <c r="N51" s="113"/>
      <c r="O51" s="113"/>
      <c r="P51" s="113"/>
      <c r="Q51" s="113"/>
      <c r="R51" s="113"/>
      <c r="S51" s="113"/>
      <c r="T51" s="113"/>
      <c r="U51" s="113"/>
      <c r="V51" s="113"/>
      <c r="W51" s="113"/>
      <c r="X51" s="113"/>
      <c r="Y51" s="113"/>
      <c r="Z51" s="113"/>
      <c r="AA51" s="113"/>
    </row>
    <row r="52" spans="3:27" ht="15" customHeight="1">
      <c r="C52" s="803" t="str">
        <f>IF(Indice_index!$Z$1=1,"Administração Central","Central Administration")</f>
        <v>Central Administration</v>
      </c>
      <c r="D52" s="114">
        <v>0.6399155299999999</v>
      </c>
      <c r="E52" s="687">
        <v>0.33719204000000003</v>
      </c>
      <c r="F52" s="687">
        <v>4.862147E-2</v>
      </c>
      <c r="G52" s="687">
        <f t="shared" si="4"/>
        <v>-85.58048108134463</v>
      </c>
      <c r="H52" s="687">
        <f t="shared" si="7"/>
        <v>-6.5867808259034554E-3</v>
      </c>
      <c r="I52" s="223"/>
      <c r="J52" s="57"/>
      <c r="K52" s="113"/>
      <c r="L52" s="115"/>
      <c r="M52" s="113"/>
      <c r="N52" s="113"/>
      <c r="O52" s="113"/>
      <c r="P52" s="113"/>
      <c r="Q52" s="113"/>
      <c r="R52" s="113"/>
      <c r="S52" s="113"/>
      <c r="T52" s="113"/>
      <c r="U52" s="113"/>
      <c r="V52" s="113"/>
      <c r="W52" s="113"/>
      <c r="X52" s="113"/>
      <c r="Y52" s="113"/>
      <c r="Z52" s="113"/>
      <c r="AA52" s="113"/>
    </row>
    <row r="53" spans="3:27" ht="15" customHeight="1">
      <c r="C53" s="803" t="str">
        <f>IF(Indice_index!$Z$1=1,"Outros subsectores das AP","Other General Government subsectors")</f>
        <v>Other General Government subsectors</v>
      </c>
      <c r="D53" s="223">
        <v>0</v>
      </c>
      <c r="E53" s="687">
        <v>0</v>
      </c>
      <c r="F53" s="687">
        <v>0</v>
      </c>
      <c r="G53" s="687" t="str">
        <f t="shared" si="4"/>
        <v>-</v>
      </c>
      <c r="H53" s="687">
        <f t="shared" si="7"/>
        <v>0</v>
      </c>
      <c r="I53" s="223"/>
      <c r="J53" s="57"/>
      <c r="K53" s="113"/>
      <c r="L53" s="113"/>
      <c r="M53" s="113"/>
      <c r="N53" s="113"/>
      <c r="O53" s="113"/>
      <c r="P53" s="113"/>
      <c r="Q53" s="113"/>
      <c r="R53" s="113"/>
      <c r="S53" s="113"/>
      <c r="T53" s="113"/>
      <c r="U53" s="113"/>
      <c r="V53" s="113"/>
      <c r="W53" s="113"/>
      <c r="X53" s="113"/>
      <c r="Y53" s="113"/>
      <c r="Z53" s="113"/>
      <c r="AA53" s="113"/>
    </row>
    <row r="54" spans="3:27" ht="15" customHeight="1">
      <c r="C54" s="803" t="str">
        <f>IF(Indice_index!$Z$1=1,"União Europeia","European Union")</f>
        <v>European Union</v>
      </c>
      <c r="D54" s="223">
        <v>133.12369321</v>
      </c>
      <c r="E54" s="687">
        <v>0</v>
      </c>
      <c r="F54" s="687">
        <v>1.7471744699999998</v>
      </c>
      <c r="G54" s="687" t="str">
        <f t="shared" si="4"/>
        <v>-</v>
      </c>
      <c r="H54" s="687">
        <f t="shared" si="7"/>
        <v>3.9880211272078199E-2</v>
      </c>
      <c r="I54" s="223"/>
      <c r="J54" s="57"/>
      <c r="K54" s="113"/>
      <c r="L54" s="113"/>
      <c r="M54" s="113"/>
      <c r="N54" s="113"/>
      <c r="O54" s="113"/>
      <c r="P54" s="113"/>
      <c r="Q54" s="113"/>
      <c r="R54" s="113"/>
      <c r="S54" s="113"/>
      <c r="T54" s="113"/>
      <c r="U54" s="113"/>
      <c r="V54" s="113"/>
      <c r="W54" s="113"/>
      <c r="X54" s="113"/>
      <c r="Y54" s="113"/>
      <c r="Z54" s="113"/>
      <c r="AA54" s="113"/>
    </row>
    <row r="55" spans="3:27" ht="15" customHeight="1">
      <c r="C55" s="803" t="str">
        <f>IF(Indice_index!$Z$1=1,"Outras transferências","Other transfers")</f>
        <v>Other transfers</v>
      </c>
      <c r="D55" s="223">
        <v>434.32292502000001</v>
      </c>
      <c r="E55" s="687">
        <v>1.3929799999999999</v>
      </c>
      <c r="F55" s="687">
        <v>1.927243</v>
      </c>
      <c r="G55" s="687">
        <f t="shared" si="4"/>
        <v>38.353960573734028</v>
      </c>
      <c r="H55" s="687">
        <f t="shared" si="7"/>
        <v>1.2194844693932784E-2</v>
      </c>
      <c r="I55" s="223"/>
      <c r="J55" s="57"/>
      <c r="K55" s="113"/>
      <c r="L55" s="113"/>
      <c r="M55" s="113"/>
      <c r="N55" s="113"/>
      <c r="O55" s="113"/>
      <c r="P55" s="113"/>
      <c r="Q55" s="113"/>
      <c r="R55" s="113"/>
      <c r="S55" s="113"/>
      <c r="T55" s="113"/>
      <c r="U55" s="113"/>
      <c r="V55" s="113"/>
      <c r="W55" s="113"/>
      <c r="X55" s="113"/>
      <c r="Y55" s="113"/>
      <c r="Z55" s="113"/>
      <c r="AA55" s="113"/>
    </row>
    <row r="56" spans="3:27" ht="15" customHeight="1">
      <c r="C56" s="821" t="str">
        <f>IF(Indice_index!$Z$1=1,"Outras despesas de capital","Other capital expenditure")</f>
        <v>Other capital expenditure</v>
      </c>
      <c r="D56" s="223">
        <v>3.8170452699999999</v>
      </c>
      <c r="E56" s="687">
        <v>0</v>
      </c>
      <c r="F56" s="687">
        <v>0</v>
      </c>
      <c r="G56" s="687" t="str">
        <f t="shared" si="4"/>
        <v>-</v>
      </c>
      <c r="H56" s="687">
        <f t="shared" si="7"/>
        <v>0</v>
      </c>
      <c r="I56" s="223"/>
      <c r="J56" s="57"/>
      <c r="K56" s="113"/>
      <c r="L56" s="113"/>
      <c r="M56" s="113"/>
      <c r="N56" s="113"/>
      <c r="O56" s="113"/>
      <c r="P56" s="113"/>
      <c r="Q56" s="113"/>
      <c r="R56" s="113"/>
      <c r="S56" s="113"/>
      <c r="T56" s="113"/>
      <c r="U56" s="113"/>
      <c r="V56" s="113"/>
      <c r="W56" s="113"/>
      <c r="X56" s="113"/>
      <c r="Y56" s="113"/>
      <c r="Z56" s="113"/>
      <c r="AA56" s="113"/>
    </row>
    <row r="57" spans="3:27" ht="15" customHeight="1">
      <c r="C57" s="791" t="str">
        <f>IF(Indice_index!$Z$1=1,"Diferenças de consolidação","Consolidation differences")</f>
        <v>Consolidation differences</v>
      </c>
      <c r="D57" s="223">
        <v>7.5698749999999995E-2</v>
      </c>
      <c r="E57" s="687">
        <v>4.2781E-2</v>
      </c>
      <c r="F57" s="687">
        <v>1.4386999999999999E-2</v>
      </c>
      <c r="G57" s="687"/>
      <c r="H57" s="687"/>
      <c r="I57" s="223"/>
      <c r="J57" s="57"/>
      <c r="K57" s="113"/>
      <c r="L57" s="113"/>
      <c r="M57" s="113"/>
      <c r="N57" s="113"/>
      <c r="O57" s="113"/>
      <c r="P57" s="113"/>
      <c r="Q57" s="113"/>
      <c r="R57" s="113"/>
      <c r="S57" s="113"/>
      <c r="T57" s="113"/>
      <c r="U57" s="113"/>
      <c r="V57" s="113"/>
      <c r="W57" s="113"/>
      <c r="X57" s="113"/>
      <c r="Y57" s="113"/>
      <c r="Z57" s="113"/>
      <c r="AA57" s="113"/>
    </row>
    <row r="58" spans="3:27" ht="4.5" customHeight="1">
      <c r="C58" s="821"/>
      <c r="D58" s="821"/>
      <c r="E58" s="224"/>
      <c r="F58" s="224"/>
      <c r="G58" s="224"/>
      <c r="H58" s="224"/>
      <c r="I58" s="224"/>
      <c r="J58" s="57"/>
      <c r="K58" s="113"/>
      <c r="L58" s="113"/>
      <c r="M58" s="113"/>
      <c r="N58" s="113"/>
      <c r="O58" s="113"/>
      <c r="P58" s="113"/>
      <c r="Q58" s="113"/>
      <c r="R58" s="113"/>
      <c r="S58" s="113"/>
      <c r="T58" s="113"/>
      <c r="U58" s="113"/>
      <c r="V58" s="113"/>
      <c r="W58" s="113"/>
      <c r="X58" s="113"/>
      <c r="Y58" s="113"/>
      <c r="Z58" s="113"/>
      <c r="AA58" s="113"/>
    </row>
    <row r="59" spans="3:27" s="290" customFormat="1" ht="15" customHeight="1">
      <c r="C59" s="824" t="str">
        <f>IF(Indice_index!$Z$1=1,"Despesa efetiva","Effective Expenditure")</f>
        <v>Effective Expenditure</v>
      </c>
      <c r="D59" s="824">
        <f>+D34+D49</f>
        <v>13511.49495032999</v>
      </c>
      <c r="E59" s="825">
        <f>+E34+E49</f>
        <v>4381.0562037399977</v>
      </c>
      <c r="F59" s="825">
        <f>+F34+F49</f>
        <v>4351.8426503199962</v>
      </c>
      <c r="G59" s="825">
        <f t="shared" ref="G59" si="8">IF(E59=0,"-",(F59-E59)/E59*100)</f>
        <v>-0.66681530803148881</v>
      </c>
      <c r="H59" s="825"/>
      <c r="I59" s="283"/>
      <c r="J59" s="274"/>
      <c r="K59" s="291"/>
      <c r="L59" s="291"/>
      <c r="M59" s="291"/>
      <c r="N59" s="291"/>
      <c r="O59" s="291"/>
      <c r="P59" s="291"/>
      <c r="Q59" s="291"/>
      <c r="R59" s="291"/>
      <c r="S59" s="291"/>
      <c r="T59" s="291"/>
      <c r="U59" s="291"/>
      <c r="V59" s="291"/>
      <c r="W59" s="291"/>
      <c r="X59" s="291"/>
      <c r="Y59" s="291"/>
      <c r="Z59" s="291"/>
      <c r="AA59" s="291"/>
    </row>
    <row r="60" spans="3:27" ht="4.5" customHeight="1">
      <c r="C60" s="827"/>
      <c r="D60" s="827"/>
      <c r="E60" s="687"/>
      <c r="F60" s="687"/>
      <c r="G60" s="112"/>
      <c r="H60" s="112"/>
      <c r="I60" s="112"/>
      <c r="J60" s="57"/>
      <c r="K60" s="113"/>
      <c r="L60" s="113"/>
      <c r="M60" s="113"/>
      <c r="N60" s="113"/>
      <c r="O60" s="113"/>
      <c r="P60" s="113"/>
      <c r="Q60" s="113"/>
      <c r="R60" s="113"/>
      <c r="S60" s="113"/>
      <c r="T60" s="113"/>
      <c r="U60" s="113"/>
      <c r="V60" s="113"/>
      <c r="W60" s="113"/>
      <c r="X60" s="113"/>
      <c r="Y60" s="113"/>
      <c r="Z60" s="113"/>
      <c r="AA60" s="113"/>
    </row>
    <row r="61" spans="3:27" s="290" customFormat="1" ht="15" customHeight="1">
      <c r="C61" s="794" t="str">
        <f>IF(Indice_index!$Z$1=1,"Saldo global","Overall Balance")</f>
        <v>Overall Balance</v>
      </c>
      <c r="D61" s="794">
        <f>+(D9+D22)-(D34+D49)</f>
        <v>-2112.3079573299892</v>
      </c>
      <c r="E61" s="796">
        <f>+(E9+E22)-(E34+E49)</f>
        <v>-192.86952308999935</v>
      </c>
      <c r="F61" s="796">
        <f>+(F9+F22)-(F34+F49)</f>
        <v>-52.276032559992927</v>
      </c>
      <c r="G61" s="796"/>
      <c r="H61" s="796"/>
      <c r="I61" s="277"/>
      <c r="J61" s="274"/>
      <c r="K61" s="291"/>
      <c r="L61" s="291"/>
      <c r="M61" s="291"/>
      <c r="N61" s="291"/>
      <c r="O61" s="291"/>
      <c r="P61" s="291"/>
      <c r="Q61" s="291"/>
      <c r="R61" s="291"/>
      <c r="S61" s="291"/>
      <c r="T61" s="291"/>
      <c r="U61" s="291"/>
      <c r="V61" s="291"/>
      <c r="W61" s="291"/>
      <c r="X61" s="291"/>
      <c r="Y61" s="291"/>
      <c r="Z61" s="291"/>
      <c r="AA61" s="291"/>
    </row>
    <row r="62" spans="3:27" ht="4.5" customHeight="1">
      <c r="C62" s="828"/>
      <c r="D62" s="828"/>
      <c r="E62" s="844"/>
      <c r="F62" s="844"/>
      <c r="G62" s="112"/>
      <c r="H62" s="112"/>
      <c r="I62" s="225"/>
      <c r="J62" s="57"/>
      <c r="K62" s="113"/>
      <c r="L62" s="113"/>
      <c r="M62" s="113"/>
      <c r="N62" s="113"/>
      <c r="O62" s="113"/>
      <c r="P62" s="113"/>
      <c r="Q62" s="113"/>
      <c r="R62" s="113"/>
      <c r="S62" s="113"/>
      <c r="T62" s="113"/>
      <c r="U62" s="113"/>
      <c r="V62" s="113"/>
      <c r="W62" s="113"/>
    </row>
    <row r="63" spans="3:27" ht="15" customHeight="1">
      <c r="C63" s="821" t="str">
        <f>IF(Indice_index!$Z$1=1,"Despesa  primária","Primary Expenditure")</f>
        <v>Primary Expenditure</v>
      </c>
      <c r="D63" s="114">
        <f>D59-D40</f>
        <v>12891.80783661999</v>
      </c>
      <c r="E63" s="686">
        <f>E59-E40</f>
        <v>4215.0472571299979</v>
      </c>
      <c r="F63" s="686">
        <f>F59-F40</f>
        <v>4285.0055043199964</v>
      </c>
      <c r="G63" s="687">
        <f>IF(E63=0,"-",(F63-E63)/E63*100)</f>
        <v>1.6597262835347817</v>
      </c>
      <c r="H63" s="687"/>
      <c r="I63" s="223"/>
      <c r="J63" s="57"/>
      <c r="K63" s="113"/>
      <c r="L63" s="113"/>
      <c r="M63" s="113"/>
      <c r="N63" s="113"/>
      <c r="O63" s="113"/>
      <c r="P63" s="113"/>
      <c r="Q63" s="113"/>
      <c r="R63" s="113"/>
      <c r="S63" s="113"/>
      <c r="T63" s="113"/>
      <c r="U63" s="113"/>
      <c r="V63" s="113"/>
      <c r="W63" s="113"/>
    </row>
    <row r="64" spans="3:27" ht="15" customHeight="1">
      <c r="C64" s="800" t="str">
        <f>IF(Indice_index!$Z$1=1,"Saldo corrente","Current balance")</f>
        <v>Current balance</v>
      </c>
      <c r="D64" s="114">
        <f>+D9-D34</f>
        <v>-1068.462702079989</v>
      </c>
      <c r="E64" s="686">
        <f>+E9-E34</f>
        <v>331.22541087000036</v>
      </c>
      <c r="F64" s="686">
        <f>+F9-F34</f>
        <v>367.94738048000681</v>
      </c>
      <c r="G64" s="112"/>
      <c r="H64" s="112"/>
      <c r="I64" s="225"/>
      <c r="J64" s="57"/>
      <c r="K64" s="113"/>
      <c r="L64" s="113"/>
      <c r="M64" s="113"/>
      <c r="N64" s="113"/>
      <c r="O64" s="113"/>
      <c r="P64" s="113"/>
      <c r="Q64" s="113"/>
      <c r="R64" s="113"/>
      <c r="S64" s="113"/>
      <c r="T64" s="113"/>
      <c r="U64" s="113"/>
      <c r="V64" s="113"/>
      <c r="W64" s="113"/>
    </row>
    <row r="65" spans="3:23" ht="15" customHeight="1">
      <c r="C65" s="800" t="str">
        <f>IF(Indice_index!$Z$1=1,"Saldo de capital","Capital balance")</f>
        <v>Capital balance</v>
      </c>
      <c r="D65" s="114">
        <f>D22-D49</f>
        <v>-1043.8452552500005</v>
      </c>
      <c r="E65" s="686">
        <f>E22-E49</f>
        <v>-524.09493396000016</v>
      </c>
      <c r="F65" s="686">
        <f>F22-F49</f>
        <v>-420.22341304000008</v>
      </c>
      <c r="G65" s="112"/>
      <c r="H65" s="112"/>
      <c r="I65" s="225"/>
      <c r="J65" s="57"/>
      <c r="K65" s="113"/>
      <c r="L65" s="113"/>
      <c r="M65" s="113"/>
      <c r="N65" s="113"/>
      <c r="O65" s="113"/>
      <c r="P65" s="113"/>
      <c r="Q65" s="113"/>
      <c r="R65" s="113"/>
      <c r="S65" s="113"/>
      <c r="T65" s="113"/>
      <c r="U65" s="113"/>
      <c r="V65" s="113"/>
      <c r="W65" s="113"/>
    </row>
    <row r="66" spans="3:23" ht="15" customHeight="1">
      <c r="C66" s="800" t="str">
        <f>IF(Indice_index!$Z$1=1,"Saldo primário","Primary balance")</f>
        <v>Primary balance</v>
      </c>
      <c r="D66" s="114">
        <f>D61+D40</f>
        <v>-1492.6208436199893</v>
      </c>
      <c r="E66" s="686">
        <f>E61+E40</f>
        <v>-26.860576479999338</v>
      </c>
      <c r="F66" s="686">
        <f>F61+F40</f>
        <v>14.561113440007077</v>
      </c>
      <c r="G66" s="112"/>
      <c r="H66" s="112"/>
      <c r="I66" s="225"/>
      <c r="J66" s="57"/>
      <c r="K66" s="113"/>
      <c r="L66" s="113"/>
      <c r="M66" s="113"/>
      <c r="N66" s="113"/>
      <c r="O66" s="113"/>
      <c r="P66" s="113"/>
      <c r="Q66" s="113"/>
      <c r="R66" s="113"/>
      <c r="S66" s="113"/>
      <c r="T66" s="113"/>
      <c r="U66" s="113"/>
      <c r="V66" s="113"/>
      <c r="W66" s="113"/>
    </row>
    <row r="67" spans="3:23" ht="6" customHeight="1">
      <c r="C67" s="136"/>
      <c r="D67" s="136"/>
      <c r="E67" s="686"/>
      <c r="F67" s="686"/>
      <c r="G67" s="112"/>
      <c r="H67" s="112"/>
      <c r="I67" s="225"/>
      <c r="J67" s="57"/>
      <c r="K67" s="113"/>
      <c r="L67" s="113"/>
      <c r="M67" s="113"/>
      <c r="N67" s="113"/>
      <c r="O67" s="113"/>
      <c r="P67" s="113"/>
      <c r="Q67" s="113"/>
      <c r="R67" s="113"/>
      <c r="S67" s="113"/>
      <c r="T67" s="113"/>
      <c r="U67" s="113"/>
      <c r="V67" s="113"/>
      <c r="W67" s="113"/>
    </row>
    <row r="68" spans="3:23" ht="15" customHeight="1">
      <c r="C68" s="136" t="str">
        <f>IF(Indice_index!$Z$1=1,"Ativos financeiros líquidos de reembolsos","Financial assets net of reimbursements")</f>
        <v>Financial assets net of reimbursements</v>
      </c>
      <c r="D68" s="136">
        <v>482.44470149000017</v>
      </c>
      <c r="E68" s="686">
        <v>-532.36480354999992</v>
      </c>
      <c r="F68" s="686">
        <v>-868.82464155999992</v>
      </c>
      <c r="G68" s="686"/>
      <c r="H68" s="112"/>
      <c r="I68" s="225"/>
      <c r="J68" s="57"/>
      <c r="K68" s="113"/>
      <c r="L68" s="113"/>
      <c r="M68" s="113"/>
      <c r="N68" s="113"/>
      <c r="O68" s="113"/>
      <c r="P68" s="113"/>
      <c r="Q68" s="113"/>
      <c r="R68" s="113"/>
      <c r="S68" s="113"/>
      <c r="T68" s="113"/>
      <c r="U68" s="113"/>
      <c r="V68" s="113"/>
      <c r="W68" s="113"/>
    </row>
    <row r="69" spans="3:23" ht="15" customHeight="1">
      <c r="C69" s="831" t="str">
        <f>IF(Indice_index!$Z$1=1,"dos quais Receitas de:","of which revenue from:")</f>
        <v>of which revenue from:</v>
      </c>
      <c r="D69" s="831"/>
      <c r="E69" s="686"/>
      <c r="F69" s="686"/>
      <c r="G69" s="686"/>
      <c r="H69" s="112"/>
      <c r="I69" s="225"/>
      <c r="J69" s="57"/>
      <c r="K69" s="113"/>
      <c r="L69" s="113"/>
      <c r="M69" s="113"/>
      <c r="N69" s="113"/>
      <c r="O69" s="113"/>
      <c r="P69" s="113"/>
      <c r="Q69" s="113"/>
      <c r="R69" s="113"/>
      <c r="S69" s="113"/>
      <c r="T69" s="113"/>
      <c r="U69" s="113"/>
      <c r="V69" s="113"/>
      <c r="W69" s="113"/>
    </row>
    <row r="70" spans="3:23" ht="15" customHeight="1">
      <c r="C70" s="802" t="str">
        <f>IF(Indice_index!$Z$1=1,"Alienação de partes de Capital","Disposal of Capital Shares")</f>
        <v>Disposal of Capital Shares</v>
      </c>
      <c r="D70" s="114">
        <v>0</v>
      </c>
      <c r="E70" s="686">
        <v>0</v>
      </c>
      <c r="F70" s="686">
        <v>0</v>
      </c>
      <c r="G70" s="687" t="str">
        <f t="shared" ref="G70:G71" si="9">IF(IFERROR((F70-E70)/E70*100,"")&gt;500,"-",IFERROR((F70-E70)/E70*100,""))</f>
        <v>-</v>
      </c>
      <c r="H70" s="112"/>
      <c r="I70" s="225"/>
      <c r="J70" s="57"/>
      <c r="K70" s="113"/>
      <c r="L70" s="113"/>
      <c r="M70" s="113"/>
      <c r="N70" s="113"/>
      <c r="O70" s="113"/>
      <c r="P70" s="113"/>
      <c r="Q70" s="113"/>
      <c r="R70" s="113"/>
      <c r="S70" s="113"/>
      <c r="T70" s="113"/>
      <c r="U70" s="113"/>
      <c r="V70" s="113"/>
      <c r="W70" s="113"/>
    </row>
    <row r="71" spans="3:23" ht="15" customHeight="1">
      <c r="C71" s="803" t="str">
        <f>IF(Indice_index!$Z$1=1,"Outros Ativos","Other Assets")</f>
        <v>Other Assets</v>
      </c>
      <c r="D71" s="114">
        <v>1366.74815977</v>
      </c>
      <c r="E71" s="686">
        <v>1133.7551514199999</v>
      </c>
      <c r="F71" s="686">
        <v>1239.54708564</v>
      </c>
      <c r="G71" s="687">
        <f t="shared" si="9"/>
        <v>9.3311094628763787</v>
      </c>
      <c r="H71" s="112"/>
      <c r="I71" s="225"/>
      <c r="J71" s="57"/>
      <c r="K71" s="113"/>
      <c r="L71" s="113"/>
      <c r="M71" s="113"/>
      <c r="N71" s="113"/>
      <c r="O71" s="113"/>
      <c r="P71" s="113"/>
      <c r="Q71" s="113"/>
      <c r="R71" s="113"/>
      <c r="S71" s="113"/>
      <c r="T71" s="113"/>
      <c r="U71" s="113"/>
      <c r="V71" s="113"/>
      <c r="W71" s="113"/>
    </row>
    <row r="72" spans="3:23" ht="15" customHeight="1">
      <c r="C72" s="136" t="str">
        <f>IF(Indice_index!$Z$1=1,"Passivos financeiros líquidos de amortizações","Financial liabilities net of amortizations")</f>
        <v>Financial liabilities net of amortizations</v>
      </c>
      <c r="D72" s="136">
        <v>2015.7860917899998</v>
      </c>
      <c r="E72" s="686">
        <v>663.75167189000001</v>
      </c>
      <c r="F72" s="686">
        <v>639.04547293999997</v>
      </c>
      <c r="G72" s="686"/>
      <c r="H72" s="112"/>
      <c r="I72" s="225"/>
      <c r="J72" s="57"/>
      <c r="K72" s="113"/>
      <c r="L72" s="113"/>
      <c r="M72" s="113"/>
      <c r="N72" s="113"/>
      <c r="O72" s="113"/>
      <c r="P72" s="113"/>
      <c r="Q72" s="113"/>
      <c r="R72" s="113"/>
      <c r="S72" s="113"/>
      <c r="T72" s="113"/>
      <c r="U72" s="113"/>
      <c r="V72" s="113"/>
      <c r="W72" s="113"/>
    </row>
    <row r="73" spans="3:23" ht="15" customHeight="1">
      <c r="C73" s="804" t="str">
        <f>IF(Indice_index!$Z$1=1,"Poupança (+) / Utilização (-) de saldo da gerência anterior","Saving (+) / Usage (-) of balance from previous management")</f>
        <v>Saving (+) / Usage (-) of balance from previous management</v>
      </c>
      <c r="D73" s="804">
        <f>D61-D68+D72</f>
        <v>-578.96656702998962</v>
      </c>
      <c r="E73" s="805">
        <f>E61-E68+E72</f>
        <v>1003.2469523500006</v>
      </c>
      <c r="F73" s="805">
        <f>F61-F68+F72</f>
        <v>1455.5940819400071</v>
      </c>
      <c r="G73" s="805"/>
      <c r="H73" s="805"/>
      <c r="I73" s="114"/>
      <c r="J73" s="57"/>
      <c r="K73" s="113"/>
      <c r="L73" s="113"/>
      <c r="M73" s="113"/>
      <c r="N73" s="113"/>
      <c r="O73" s="113"/>
      <c r="P73" s="113"/>
      <c r="Q73" s="113"/>
      <c r="R73" s="113"/>
      <c r="S73" s="113"/>
      <c r="T73" s="113"/>
      <c r="U73" s="113"/>
      <c r="V73" s="113"/>
      <c r="W73" s="113"/>
    </row>
    <row r="74" spans="3:23" s="53" customFormat="1" ht="4.5" customHeight="1">
      <c r="C74" s="136"/>
      <c r="D74" s="136"/>
      <c r="E74" s="845"/>
      <c r="F74" s="479"/>
      <c r="G74" s="479"/>
      <c r="H74" s="479"/>
      <c r="I74" s="57"/>
      <c r="J74" s="58"/>
      <c r="N74" s="50"/>
      <c r="O74" s="50"/>
      <c r="P74" s="50"/>
    </row>
    <row r="75" spans="3:23" s="53" customFormat="1" ht="15" customHeight="1">
      <c r="C75" s="833" t="str">
        <f>IF(Indice_index!$Z$1=1,"Notas:","Notes:")</f>
        <v>Notes:</v>
      </c>
      <c r="D75" s="833"/>
      <c r="E75" s="58"/>
      <c r="J75" s="58"/>
      <c r="K75" s="50"/>
      <c r="L75" s="50"/>
      <c r="M75" s="50"/>
    </row>
    <row r="76" spans="3:23" s="22" customFormat="1" ht="15" customHeight="1">
      <c r="C76" s="1674" t="str">
        <f>+'5 - Conta AC + SS'!$C$64</f>
        <v>2021 cumulative execution is monthly reviewed and updated and therefore may differ from data published in 2021.</v>
      </c>
      <c r="D76" s="1674"/>
      <c r="E76" s="1674"/>
      <c r="F76" s="1674"/>
      <c r="G76" s="1674"/>
      <c r="H76" s="1674"/>
      <c r="I76" s="63"/>
      <c r="P76" s="24"/>
      <c r="Q76" s="24"/>
    </row>
    <row r="77" spans="3:23" s="63" customFormat="1" ht="4.5" customHeight="1">
      <c r="C77" s="639"/>
      <c r="D77" s="639"/>
      <c r="E77" s="639"/>
      <c r="F77" s="639"/>
      <c r="G77" s="639"/>
      <c r="H77" s="639"/>
      <c r="J77" s="58"/>
      <c r="K77" s="98"/>
      <c r="L77" s="98"/>
    </row>
    <row r="78" spans="3:23" s="53" customFormat="1" ht="15" customHeight="1">
      <c r="C78" s="1686" t="str">
        <f>IF(Indice_index!$Z$1=1,"Entidades em incumprimento no reporte de execução orçamental no mês em análise:","Non reporting entities are identified below ")</f>
        <v xml:space="preserve">Non reporting entities are identified below </v>
      </c>
      <c r="D78" s="1686"/>
      <c r="E78" s="1686"/>
      <c r="F78" s="1686"/>
      <c r="G78" s="1686"/>
      <c r="H78" s="1686"/>
      <c r="J78" s="58"/>
      <c r="K78" s="50"/>
      <c r="L78" s="50"/>
      <c r="M78" s="50"/>
    </row>
    <row r="79" spans="3:23" s="53" customFormat="1" ht="12.75" hidden="1" customHeight="1">
      <c r="C79" s="834" t="s">
        <v>68</v>
      </c>
      <c r="D79" s="835"/>
      <c r="E79" s="836"/>
      <c r="F79" s="836"/>
      <c r="G79" s="836"/>
      <c r="H79" s="836"/>
      <c r="I79" s="217"/>
      <c r="K79" s="50"/>
      <c r="L79" s="50"/>
      <c r="M79" s="50"/>
    </row>
    <row r="80" spans="3:23" s="53" customFormat="1" ht="12.6" hidden="1" customHeight="1">
      <c r="C80" s="1688"/>
      <c r="D80" s="1688"/>
      <c r="E80" s="1688"/>
      <c r="F80" s="1688"/>
      <c r="G80" s="1688"/>
      <c r="H80" s="1688"/>
      <c r="I80" s="220"/>
      <c r="K80" s="50"/>
      <c r="L80" s="50"/>
      <c r="M80" s="50"/>
    </row>
    <row r="81" spans="3:20" s="53" customFormat="1" ht="15" customHeight="1">
      <c r="C81" s="834" t="s">
        <v>75</v>
      </c>
      <c r="D81" s="835"/>
      <c r="E81" s="836"/>
      <c r="F81" s="836"/>
      <c r="G81" s="836"/>
      <c r="H81" s="836"/>
      <c r="I81" s="217"/>
      <c r="K81" s="50"/>
      <c r="L81" s="50"/>
      <c r="M81" s="50"/>
    </row>
    <row r="82" spans="3:20" s="53" customFormat="1" ht="28.5" customHeight="1">
      <c r="C82" s="1688" t="s">
        <v>589</v>
      </c>
      <c r="D82" s="1688"/>
      <c r="E82" s="1688"/>
      <c r="F82" s="1688"/>
      <c r="G82" s="1688"/>
      <c r="H82" s="1688"/>
      <c r="I82" s="219"/>
      <c r="J82" s="1694"/>
      <c r="K82" s="1694"/>
      <c r="L82" s="1694"/>
      <c r="M82" s="1694"/>
      <c r="N82" s="1694"/>
      <c r="O82" s="1694"/>
      <c r="P82" s="1694"/>
      <c r="Q82" s="1694"/>
      <c r="R82" s="1694"/>
      <c r="S82" s="1694"/>
    </row>
    <row r="83" spans="3:20" s="100" customFormat="1" ht="4.5" customHeight="1">
      <c r="C83" s="226"/>
      <c r="D83" s="226"/>
      <c r="E83" s="226"/>
      <c r="F83" s="226"/>
      <c r="G83" s="226"/>
      <c r="H83" s="226"/>
      <c r="I83" s="226"/>
      <c r="K83" s="104"/>
      <c r="L83" s="104"/>
      <c r="M83" s="104"/>
    </row>
    <row r="84" spans="3:20" s="53" customFormat="1" ht="25.5" customHeight="1">
      <c r="C84" s="1689" t="str">
        <f>IF(Indice_index!$Z$1=1,C101,C102)</f>
        <v>For the entities identified above an estimate is being used for the months without report, the estimate corresponds to the 2022 monthly budget implementation prediction.</v>
      </c>
      <c r="D84" s="1689"/>
      <c r="E84" s="1689"/>
      <c r="F84" s="1689"/>
      <c r="G84" s="1689"/>
      <c r="H84" s="1689"/>
      <c r="I84" s="219"/>
      <c r="K84" s="50"/>
      <c r="L84" s="50"/>
      <c r="M84" s="50"/>
    </row>
    <row r="85" spans="3:20" s="53" customFormat="1" ht="4.5" customHeight="1">
      <c r="C85" s="846"/>
      <c r="D85" s="846"/>
      <c r="E85" s="846"/>
      <c r="F85" s="846"/>
      <c r="G85" s="846"/>
      <c r="H85" s="846"/>
      <c r="I85" s="219"/>
      <c r="K85" s="50"/>
      <c r="L85" s="50"/>
      <c r="M85" s="50"/>
    </row>
    <row r="86" spans="3:20" s="53" customFormat="1" ht="17.45" customHeight="1">
      <c r="C86" s="1688" t="str">
        <f>IF(Indice_index!$Z$1=1,"Esta estimativa apenas é utilizada para os meses em que haja falta de reporte. Nos restantes meses, é utilizada a informação efetivamente reportada pelas entidades.",C103)</f>
        <v>This estimate is used only in months in which there is a lack of report. In other months, the information considered is that effectively reported by the entities.</v>
      </c>
      <c r="D86" s="1688"/>
      <c r="E86" s="1688"/>
      <c r="F86" s="1688"/>
      <c r="G86" s="1688"/>
      <c r="H86" s="1688"/>
      <c r="I86" s="227"/>
      <c r="K86" s="50"/>
      <c r="L86" s="50"/>
      <c r="M86" s="50"/>
    </row>
    <row r="87" spans="3:20" s="348" customFormat="1" ht="4.5" customHeight="1">
      <c r="C87" s="837"/>
      <c r="D87" s="837"/>
      <c r="E87" s="837"/>
      <c r="F87" s="837"/>
      <c r="G87" s="837"/>
      <c r="H87" s="837"/>
      <c r="I87" s="347"/>
      <c r="J87" s="347"/>
      <c r="K87" s="347"/>
      <c r="L87" s="347"/>
      <c r="M87" s="347"/>
      <c r="N87" s="347"/>
      <c r="R87" s="349"/>
      <c r="S87" s="349"/>
      <c r="T87" s="349"/>
    </row>
    <row r="88" spans="3:20" s="53" customFormat="1" ht="15" customHeight="1">
      <c r="C88" s="684" t="str">
        <f>IF(Indice_index!$Z$1=1,"Fonte: Direção-Geral do Orçamento","Source: Budget General Directorate")</f>
        <v>Source: Budget General Directorate</v>
      </c>
      <c r="D88" s="684"/>
      <c r="I88" s="101"/>
      <c r="J88" s="101"/>
      <c r="K88" s="101"/>
      <c r="L88" s="101"/>
      <c r="M88" s="101"/>
      <c r="N88" s="101"/>
      <c r="O88" s="101"/>
    </row>
    <row r="89" spans="3:20" s="107" customFormat="1" ht="12.75" customHeight="1">
      <c r="C89" s="106"/>
      <c r="D89" s="106"/>
      <c r="E89" s="116"/>
      <c r="F89" s="106"/>
      <c r="G89" s="102"/>
      <c r="H89" s="102"/>
      <c r="O89" s="103"/>
      <c r="P89" s="103"/>
      <c r="Q89" s="103"/>
    </row>
    <row r="90" spans="3:20" s="107" customFormat="1" ht="12.75" customHeight="1">
      <c r="C90" s="106"/>
      <c r="D90" s="106"/>
      <c r="E90" s="116"/>
      <c r="F90" s="106"/>
      <c r="G90" s="386"/>
      <c r="H90" s="386"/>
      <c r="O90" s="103"/>
      <c r="P90" s="103"/>
      <c r="Q90" s="103"/>
    </row>
    <row r="91" spans="3:20" s="107" customFormat="1" ht="12.75" customHeight="1">
      <c r="C91" s="329"/>
      <c r="D91" s="329"/>
      <c r="E91" s="331"/>
      <c r="F91" s="329"/>
      <c r="G91" s="330"/>
      <c r="H91" s="330"/>
      <c r="O91" s="103"/>
      <c r="P91" s="103"/>
      <c r="Q91" s="103"/>
    </row>
    <row r="92" spans="3:20" s="102" customFormat="1">
      <c r="C92" s="1685"/>
      <c r="D92" s="1685"/>
      <c r="E92" s="1685"/>
      <c r="F92" s="1685"/>
      <c r="G92" s="1685"/>
      <c r="H92" s="1685"/>
      <c r="I92" s="346"/>
      <c r="M92" s="103"/>
      <c r="N92" s="103"/>
      <c r="O92" s="103"/>
    </row>
    <row r="93" spans="3:20" s="102" customFormat="1" ht="12.75" customHeight="1">
      <c r="C93" s="1685"/>
      <c r="D93" s="1685"/>
      <c r="E93" s="1685"/>
      <c r="F93" s="1685"/>
      <c r="G93" s="1685"/>
      <c r="H93" s="1685"/>
      <c r="I93" s="346"/>
      <c r="M93" s="103"/>
      <c r="N93" s="103"/>
      <c r="O93" s="103"/>
    </row>
    <row r="94" spans="3:20" s="102" customFormat="1" ht="26.25" customHeight="1">
      <c r="C94" s="1685"/>
      <c r="D94" s="1685"/>
      <c r="E94" s="1685"/>
      <c r="F94" s="1685"/>
      <c r="G94" s="1685"/>
      <c r="H94" s="1685"/>
      <c r="I94" s="346"/>
      <c r="M94" s="103"/>
      <c r="N94" s="103"/>
      <c r="O94" s="103"/>
    </row>
    <row r="95" spans="3:20" s="102" customFormat="1" ht="24.75" customHeight="1">
      <c r="C95" s="1685"/>
      <c r="D95" s="1685"/>
      <c r="E95" s="1685"/>
      <c r="F95" s="1685"/>
      <c r="G95" s="1685"/>
      <c r="H95" s="1685"/>
      <c r="I95" s="346"/>
      <c r="M95" s="103"/>
      <c r="N95" s="103"/>
      <c r="O95" s="103"/>
    </row>
    <row r="96" spans="3:20" s="102" customFormat="1" ht="12.75" customHeight="1">
      <c r="C96" s="1685"/>
      <c r="D96" s="1685"/>
      <c r="E96" s="1685"/>
      <c r="F96" s="1685"/>
      <c r="G96" s="1685"/>
      <c r="H96" s="1685"/>
      <c r="M96" s="103"/>
      <c r="N96" s="103"/>
      <c r="O96" s="103"/>
    </row>
    <row r="97" spans="3:17" s="107" customFormat="1" ht="12.75" customHeight="1">
      <c r="C97" s="106"/>
      <c r="D97" s="106"/>
      <c r="E97" s="116"/>
      <c r="F97" s="106"/>
      <c r="G97" s="102"/>
      <c r="H97" s="102"/>
      <c r="O97" s="103"/>
      <c r="P97" s="103"/>
      <c r="Q97" s="103"/>
    </row>
    <row r="98" spans="3:17" s="107" customFormat="1" ht="12.75" customHeight="1">
      <c r="C98" s="106"/>
      <c r="D98" s="106"/>
      <c r="E98" s="116"/>
      <c r="F98" s="106"/>
      <c r="G98" s="102"/>
      <c r="H98" s="102"/>
      <c r="O98" s="103"/>
      <c r="P98" s="103"/>
      <c r="Q98" s="103"/>
    </row>
    <row r="99" spans="3:17" s="107" customFormat="1" ht="12.75" customHeight="1">
      <c r="C99" s="363"/>
      <c r="D99" s="363"/>
      <c r="E99" s="364"/>
      <c r="F99" s="363"/>
      <c r="G99" s="100"/>
      <c r="H99" s="100"/>
      <c r="O99" s="103"/>
      <c r="P99" s="103"/>
      <c r="Q99" s="103"/>
    </row>
    <row r="100" spans="3:17" s="107" customFormat="1">
      <c r="C100" s="1695"/>
      <c r="D100" s="1695"/>
      <c r="E100" s="1695"/>
      <c r="F100" s="1695"/>
      <c r="G100" s="1695"/>
      <c r="H100" s="1695"/>
      <c r="I100" s="355"/>
      <c r="O100" s="103"/>
      <c r="P100" s="103"/>
      <c r="Q100" s="103"/>
    </row>
    <row r="101" spans="3:17" s="431" customFormat="1">
      <c r="C101" s="1696" t="s">
        <v>76</v>
      </c>
      <c r="D101" s="1697"/>
      <c r="E101" s="1697"/>
      <c r="F101" s="1697"/>
      <c r="G101" s="1697"/>
      <c r="H101" s="1697"/>
      <c r="I101" s="533"/>
      <c r="O101" s="104"/>
      <c r="P101" s="104"/>
      <c r="Q101" s="104"/>
    </row>
    <row r="102" spans="3:17" s="431" customFormat="1">
      <c r="C102" s="1687" t="s">
        <v>77</v>
      </c>
      <c r="D102" s="1687"/>
      <c r="E102" s="1687"/>
      <c r="F102" s="1687"/>
      <c r="G102" s="1687"/>
      <c r="H102" s="1687"/>
      <c r="O102" s="104"/>
      <c r="P102" s="104"/>
      <c r="Q102" s="104"/>
    </row>
    <row r="103" spans="3:17" s="107" customFormat="1">
      <c r="C103" s="1687" t="s">
        <v>7</v>
      </c>
      <c r="D103" s="1687"/>
      <c r="E103" s="1687"/>
      <c r="F103" s="1687"/>
      <c r="G103" s="1687"/>
      <c r="H103" s="1687"/>
      <c r="I103" s="346"/>
      <c r="O103" s="103"/>
      <c r="P103" s="103"/>
      <c r="Q103" s="103"/>
    </row>
    <row r="104" spans="3:17" s="107" customFormat="1">
      <c r="C104" s="363"/>
      <c r="D104" s="106"/>
      <c r="E104" s="116"/>
      <c r="F104" s="106"/>
      <c r="G104" s="102"/>
      <c r="H104" s="102"/>
      <c r="O104" s="103"/>
      <c r="P104" s="103"/>
      <c r="Q104" s="103"/>
    </row>
    <row r="105" spans="3:17" s="107" customFormat="1">
      <c r="C105" s="363"/>
      <c r="D105" s="106"/>
      <c r="E105" s="116"/>
      <c r="F105" s="106"/>
      <c r="G105" s="102"/>
      <c r="H105" s="102"/>
      <c r="O105" s="103"/>
      <c r="P105" s="103"/>
      <c r="Q105" s="103"/>
    </row>
    <row r="106" spans="3:17" s="107" customFormat="1">
      <c r="C106" s="106"/>
      <c r="D106" s="106"/>
      <c r="E106" s="116"/>
      <c r="F106" s="106"/>
      <c r="G106" s="102"/>
      <c r="H106" s="102"/>
      <c r="O106" s="103"/>
      <c r="P106" s="103"/>
      <c r="Q106" s="103"/>
    </row>
    <row r="107" spans="3:17" s="107" customFormat="1">
      <c r="C107" s="106"/>
      <c r="D107" s="106"/>
      <c r="E107" s="116"/>
      <c r="F107" s="106"/>
      <c r="G107" s="102"/>
      <c r="H107" s="102"/>
      <c r="O107" s="103"/>
      <c r="P107" s="103"/>
      <c r="Q107" s="103"/>
    </row>
    <row r="108" spans="3:17" s="107" customFormat="1">
      <c r="C108" s="106"/>
      <c r="D108" s="106"/>
      <c r="E108" s="116"/>
      <c r="F108" s="106"/>
      <c r="G108" s="102"/>
      <c r="H108" s="102"/>
      <c r="O108" s="103"/>
      <c r="P108" s="103"/>
      <c r="Q108" s="103"/>
    </row>
    <row r="109" spans="3:17" s="107" customFormat="1">
      <c r="C109" s="106"/>
      <c r="D109" s="106"/>
      <c r="E109" s="116"/>
      <c r="F109" s="106"/>
      <c r="G109" s="102"/>
      <c r="H109" s="102"/>
      <c r="O109" s="103"/>
      <c r="P109" s="103"/>
      <c r="Q109" s="103"/>
    </row>
    <row r="110" spans="3:17" s="107" customFormat="1">
      <c r="C110" s="106"/>
      <c r="D110" s="106"/>
      <c r="E110" s="116"/>
      <c r="F110" s="106"/>
      <c r="G110" s="102"/>
      <c r="H110" s="102"/>
      <c r="O110" s="103"/>
      <c r="P110" s="103"/>
      <c r="Q110" s="103"/>
    </row>
  </sheetData>
  <mergeCells count="18">
    <mergeCell ref="J82:S82"/>
    <mergeCell ref="C103:H103"/>
    <mergeCell ref="C94:H94"/>
    <mergeCell ref="C93:H93"/>
    <mergeCell ref="C95:H95"/>
    <mergeCell ref="C96:H96"/>
    <mergeCell ref="C100:H100"/>
    <mergeCell ref="C101:H101"/>
    <mergeCell ref="C92:H92"/>
    <mergeCell ref="C86:H86"/>
    <mergeCell ref="C84:H84"/>
    <mergeCell ref="C82:H82"/>
    <mergeCell ref="G6:H6"/>
    <mergeCell ref="C78:H78"/>
    <mergeCell ref="C76:H76"/>
    <mergeCell ref="C102:H102"/>
    <mergeCell ref="C80:H80"/>
    <mergeCell ref="E6:F6"/>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H5 D10 F6 H6 G7 G6 H7 D6" unlockedFormula="1"/>
    <ignoredError sqref="E15:F15 E22:F22 E24:F24 E31:F33 E41:F41 E49:F49 E51:F51 E35:F35 E34:F34 D73" formulaRange="1"/>
    <ignoredError sqref="D7:F7" numberStoredAsText="1" unlockedFormula="1"/>
    <ignoredError sqref="D15 D22 D24 D31:D35 D41 D49 D51 D58:D67" formulaRange="1" unlockedFormula="1"/>
    <ignoredError sqref="C81" numberStoredAsText="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E97"/>
  <sheetViews>
    <sheetView showGridLines="0" zoomScaleNormal="100" zoomScaleSheetLayoutView="100" workbookViewId="0">
      <selection activeCell="B2" sqref="B2"/>
    </sheetView>
  </sheetViews>
  <sheetFormatPr defaultColWidth="9.140625" defaultRowHeight="12"/>
  <cols>
    <col min="1" max="1" width="2.5703125" style="118" customWidth="1"/>
    <col min="2" max="2" width="4.42578125" style="118" customWidth="1"/>
    <col min="3" max="3" width="40.85546875" style="118" customWidth="1"/>
    <col min="4" max="8" width="9.42578125" style="118" customWidth="1"/>
    <col min="9" max="9" width="8.5703125" style="119" customWidth="1"/>
    <col min="10" max="10" width="9.5703125" style="118" bestFit="1" customWidth="1"/>
    <col min="11" max="12" width="8.5703125" style="118" customWidth="1"/>
    <col min="13" max="13" width="9.85546875" style="118" bestFit="1" customWidth="1"/>
    <col min="14" max="14" width="10.140625" style="118" customWidth="1"/>
    <col min="15" max="15" width="14.5703125" style="118" bestFit="1" customWidth="1"/>
    <col min="16" max="16" width="12.42578125" style="118" customWidth="1"/>
    <col min="17" max="17" width="10" style="118" customWidth="1"/>
    <col min="18" max="21" width="6.5703125" style="118" customWidth="1"/>
    <col min="22" max="22" width="9" style="118" bestFit="1" customWidth="1"/>
    <col min="23" max="25" width="9.140625" style="50" customWidth="1"/>
    <col min="26" max="26" width="9.140625" style="118" customWidth="1"/>
    <col min="27" max="16384" width="9.140625" style="118"/>
  </cols>
  <sheetData>
    <row r="1" spans="2:31" s="50" customFormat="1" ht="15" customHeight="1">
      <c r="B1" s="49"/>
      <c r="C1" s="49"/>
      <c r="D1" s="49"/>
      <c r="G1" s="118"/>
      <c r="H1" s="118"/>
    </row>
    <row r="2" spans="2:31" ht="24" customHeight="1">
      <c r="B2" s="8"/>
      <c r="C2" s="51" t="str">
        <f>IF(Indice_index!$Z$1=1,"11 - Execução Orçamental da Caixa Geral de Aposentações","11 - Public Servants Social Scheme Budget Execution")</f>
        <v>11 - Public Servants Social Scheme Budget Execution</v>
      </c>
      <c r="D2" s="51"/>
      <c r="E2" s="51"/>
      <c r="F2" s="51"/>
      <c r="G2" s="51"/>
      <c r="H2" s="51"/>
      <c r="W2" s="81"/>
      <c r="Y2" s="81"/>
    </row>
    <row r="3" spans="2:31" ht="15" customHeight="1">
      <c r="C3" s="97"/>
      <c r="D3" s="97"/>
      <c r="E3" s="120"/>
      <c r="F3" s="120"/>
      <c r="W3" s="81"/>
    </row>
    <row r="4" spans="2:31" ht="15" customHeight="1">
      <c r="C4" s="120"/>
      <c r="D4" s="120"/>
      <c r="E4" s="120"/>
      <c r="F4" s="120"/>
      <c r="G4" s="120"/>
      <c r="H4" s="120"/>
    </row>
    <row r="5" spans="2:31" s="292" customFormat="1" ht="15" customHeight="1">
      <c r="C5" s="847" t="str">
        <f>+'5 - Conta AC + SS'!C5</f>
        <v>Period: January to May</v>
      </c>
      <c r="D5" s="847"/>
      <c r="E5" s="848"/>
      <c r="F5" s="848"/>
      <c r="G5" s="848"/>
      <c r="H5" s="809" t="str">
        <f>IF(Indice_index!$Z$1=1,"€ Milhões","€ Millions")</f>
        <v>€ Millions</v>
      </c>
      <c r="I5" s="388"/>
      <c r="J5" s="293"/>
      <c r="W5" s="249"/>
      <c r="X5" s="249"/>
      <c r="Y5" s="249"/>
    </row>
    <row r="6" spans="2:31" ht="30.75" customHeight="1">
      <c r="C6" s="849"/>
      <c r="D6" s="811" t="str">
        <f>IF(Indice_index!$Z$1=1,"CGE","Final execution")</f>
        <v>Final execution</v>
      </c>
      <c r="E6" s="1675" t="str">
        <f>IF(Indice_index!$Z$1=1,"Execução Acumulada","Accumulated Execution")</f>
        <v>Accumulated Execution</v>
      </c>
      <c r="F6" s="1675"/>
      <c r="G6" s="1676" t="str">
        <f>IF(Indice_index!$Z$1=1,"Variação Homóloga Acumulada","YOY Change Rate")</f>
        <v>YOY Change Rate</v>
      </c>
      <c r="H6" s="1677"/>
      <c r="I6" s="118"/>
    </row>
    <row r="7" spans="2:31" ht="33" customHeight="1">
      <c r="C7" s="850"/>
      <c r="D7" s="813" t="s">
        <v>68</v>
      </c>
      <c r="E7" s="814" t="s">
        <v>68</v>
      </c>
      <c r="F7" s="814" t="s">
        <v>75</v>
      </c>
      <c r="G7" s="815" t="str">
        <f>IF(Indice_index!$Z$1=1,"Relativa (%)","Relative change (%)")</f>
        <v>Relative change (%)</v>
      </c>
      <c r="H7" s="816" t="str">
        <f>IF(Indice_index!$Z$1=1,"Contributo VHA (p.p.)","YOY Change Rate Contrib. (p.p.)")</f>
        <v>YOY Change Rate Contrib. (p.p.)</v>
      </c>
      <c r="I7" s="118"/>
    </row>
    <row r="8" spans="2:31" s="294" customFormat="1" ht="15" customHeight="1">
      <c r="C8" s="851" t="str">
        <f>IF(Indice_index!$Z$1=1,"Receita corrente","Current revenue")</f>
        <v>Current revenue</v>
      </c>
      <c r="D8" s="851">
        <f>+D9+D14+D23</f>
        <v>10366.37250845</v>
      </c>
      <c r="E8" s="851">
        <f>+E9+E14+E23</f>
        <v>3888.5790257400004</v>
      </c>
      <c r="F8" s="851">
        <f>+F9+F14+F23</f>
        <v>3670.0231171099995</v>
      </c>
      <c r="G8" s="852">
        <f t="shared" ref="G8:G20" si="0">IF(IFERROR((F8-E8)/E8*100,"")&gt;500,"-",IFERROR((F8-E8)/E8*100,""))</f>
        <v>-5.6204569119798071</v>
      </c>
      <c r="H8" s="852">
        <f>IFERROR((F8-E8)/$E$27*100,"-")</f>
        <v>-5.6204569119798071</v>
      </c>
      <c r="I8" s="292"/>
      <c r="J8" s="295"/>
      <c r="K8" s="295"/>
      <c r="L8" s="428"/>
      <c r="M8" s="428"/>
      <c r="N8" s="295"/>
      <c r="O8" s="295"/>
      <c r="P8" s="295"/>
      <c r="Q8" s="295"/>
      <c r="R8" s="295"/>
      <c r="S8" s="295"/>
      <c r="T8" s="295"/>
      <c r="U8" s="295"/>
      <c r="V8" s="295"/>
      <c r="W8" s="295"/>
      <c r="X8" s="295"/>
      <c r="Y8" s="295"/>
    </row>
    <row r="9" spans="2:31" ht="15" customHeight="1">
      <c r="C9" s="853" t="str">
        <f>IF(Indice_index!$Z$1=1,"Contribuições para a Caixa Geral de Aposentações","Contributions to the Public Servants Social Scheme (CGA)")</f>
        <v>Contributions to the Public Servants Social Scheme (CGA)</v>
      </c>
      <c r="D9" s="854">
        <f t="shared" ref="D9" si="1">+D10+D11</f>
        <v>4119.3248779699998</v>
      </c>
      <c r="E9" s="854">
        <f t="shared" ref="E9:F9" si="2">+E10+E11</f>
        <v>1505.3902971999998</v>
      </c>
      <c r="F9" s="854">
        <f t="shared" si="2"/>
        <v>1430.25947477</v>
      </c>
      <c r="G9" s="855">
        <f t="shared" si="0"/>
        <v>-4.9907869454015943</v>
      </c>
      <c r="H9" s="855">
        <f t="shared" ref="H9:H25" si="3">IFERROR((F9-E9)/$E$27*100,"-")</f>
        <v>-1.9320893810484507</v>
      </c>
      <c r="I9" s="118"/>
      <c r="J9" s="88"/>
      <c r="K9" s="88"/>
      <c r="L9" s="428"/>
      <c r="M9" s="428"/>
      <c r="N9" s="295"/>
      <c r="O9" s="295"/>
      <c r="P9" s="295"/>
      <c r="Q9" s="88"/>
      <c r="R9" s="88"/>
      <c r="S9" s="88"/>
      <c r="T9" s="88"/>
      <c r="U9" s="88"/>
      <c r="V9" s="88"/>
      <c r="W9" s="88"/>
      <c r="X9" s="88"/>
      <c r="Y9" s="88"/>
      <c r="Z9" s="88"/>
      <c r="AA9" s="88"/>
      <c r="AB9" s="88"/>
      <c r="AC9" s="88"/>
      <c r="AD9" s="88"/>
      <c r="AE9" s="88"/>
    </row>
    <row r="10" spans="2:31" ht="15" customHeight="1">
      <c r="C10" s="856" t="str">
        <f>IF(Indice_index!$Z$1=1,"Quotas e contribuições para a CGA","Fees and contributions to the CGA")</f>
        <v>Fees and contributions to the CGA</v>
      </c>
      <c r="D10" s="854">
        <v>4004.8889900199997</v>
      </c>
      <c r="E10" s="854">
        <v>1460.0993508999998</v>
      </c>
      <c r="F10" s="854">
        <v>1384.31413705</v>
      </c>
      <c r="G10" s="855">
        <f t="shared" si="0"/>
        <v>-5.1904148716514422</v>
      </c>
      <c r="H10" s="855">
        <f t="shared" si="3"/>
        <v>-1.9489179298748536</v>
      </c>
      <c r="I10" s="118"/>
      <c r="J10" s="88"/>
      <c r="K10" s="88"/>
      <c r="L10" s="428"/>
      <c r="M10" s="428"/>
      <c r="N10" s="295"/>
      <c r="O10" s="295"/>
      <c r="P10" s="295"/>
      <c r="Q10" s="88"/>
      <c r="R10" s="88"/>
      <c r="S10" s="88"/>
      <c r="T10" s="88"/>
      <c r="U10" s="88"/>
      <c r="V10" s="88"/>
      <c r="W10" s="88"/>
      <c r="X10" s="88"/>
      <c r="Y10" s="88"/>
      <c r="Z10" s="88"/>
      <c r="AA10" s="88"/>
      <c r="AB10" s="88"/>
      <c r="AC10" s="88"/>
      <c r="AD10" s="88"/>
      <c r="AE10" s="88"/>
    </row>
    <row r="11" spans="2:31" ht="15" customHeight="1">
      <c r="C11" s="856" t="str">
        <f>IF(Indice_index!$Z$1=1,"Compensação por pagamento de pensões","Pension payment compensations")</f>
        <v>Pension payment compensations</v>
      </c>
      <c r="D11" s="857">
        <f t="shared" ref="D11" si="4">+D12+D13</f>
        <v>114.43588794999999</v>
      </c>
      <c r="E11" s="857">
        <f t="shared" ref="E11:F11" si="5">+E12+E13</f>
        <v>45.290946300000002</v>
      </c>
      <c r="F11" s="857">
        <f t="shared" si="5"/>
        <v>45.945337719999998</v>
      </c>
      <c r="G11" s="855">
        <f t="shared" si="0"/>
        <v>1.4448614424291595</v>
      </c>
      <c r="H11" s="855">
        <f t="shared" si="3"/>
        <v>1.6828548826404905E-2</v>
      </c>
      <c r="I11" s="118"/>
      <c r="J11" s="88"/>
      <c r="K11" s="88"/>
      <c r="L11" s="428"/>
      <c r="M11" s="428"/>
      <c r="N11" s="295"/>
      <c r="O11" s="295"/>
      <c r="P11" s="295"/>
      <c r="Q11" s="88"/>
      <c r="R11" s="88"/>
      <c r="S11" s="88"/>
      <c r="T11" s="88"/>
      <c r="U11" s="88"/>
      <c r="V11" s="88"/>
      <c r="W11" s="88"/>
      <c r="X11" s="88"/>
      <c r="Y11" s="88"/>
      <c r="Z11" s="88"/>
      <c r="AA11" s="88"/>
      <c r="AB11" s="88"/>
      <c r="AC11" s="88"/>
      <c r="AD11" s="88"/>
      <c r="AE11" s="88"/>
    </row>
    <row r="12" spans="2:31" ht="15" customHeight="1">
      <c r="C12" s="858" t="str">
        <f>IF(Indice_index!$Z$1=1,"Subsectores das Administrações Públicas","General Government subsectors")</f>
        <v>General Government subsectors</v>
      </c>
      <c r="D12" s="854">
        <v>53.576918370000001</v>
      </c>
      <c r="E12" s="854">
        <v>19.827939789999999</v>
      </c>
      <c r="F12" s="854">
        <v>18.28436292</v>
      </c>
      <c r="G12" s="855">
        <f t="shared" si="0"/>
        <v>-7.7848575613412185</v>
      </c>
      <c r="H12" s="855">
        <f t="shared" si="3"/>
        <v>-3.9695139529953488E-2</v>
      </c>
      <c r="I12" s="118"/>
      <c r="J12" s="88"/>
      <c r="K12" s="88"/>
      <c r="L12" s="428"/>
      <c r="M12" s="428"/>
      <c r="N12" s="295"/>
      <c r="O12" s="295"/>
      <c r="P12" s="295"/>
      <c r="Q12" s="88"/>
      <c r="R12" s="88"/>
      <c r="S12" s="88"/>
      <c r="T12" s="88"/>
      <c r="U12" s="88"/>
      <c r="V12" s="88"/>
      <c r="W12" s="88"/>
      <c r="X12" s="88"/>
      <c r="Y12" s="88"/>
      <c r="Z12" s="88"/>
      <c r="AA12" s="88"/>
      <c r="AB12" s="88"/>
      <c r="AC12" s="88"/>
      <c r="AD12" s="88"/>
      <c r="AE12" s="88"/>
    </row>
    <row r="13" spans="2:31" ht="15" customHeight="1">
      <c r="C13" s="858" t="str">
        <f>IF(Indice_index!$Z$1=1,"Outras entidades","Other entities")</f>
        <v>Other entities</v>
      </c>
      <c r="D13" s="854">
        <v>60.85896958</v>
      </c>
      <c r="E13" s="854">
        <v>25.463006510000003</v>
      </c>
      <c r="F13" s="854">
        <v>27.660974799999998</v>
      </c>
      <c r="G13" s="855">
        <f t="shared" si="0"/>
        <v>8.6320061581761536</v>
      </c>
      <c r="H13" s="855">
        <f t="shared" si="3"/>
        <v>5.6523688356358383E-2</v>
      </c>
      <c r="I13" s="118"/>
      <c r="J13" s="88"/>
      <c r="K13" s="88"/>
      <c r="L13" s="428"/>
      <c r="M13" s="428"/>
      <c r="N13" s="295"/>
      <c r="O13" s="295"/>
      <c r="P13" s="295"/>
      <c r="Q13" s="88"/>
      <c r="R13" s="88"/>
      <c r="S13" s="88"/>
      <c r="T13" s="88"/>
      <c r="U13" s="88"/>
      <c r="V13" s="88"/>
      <c r="W13" s="88"/>
      <c r="X13" s="88"/>
      <c r="Y13" s="88"/>
      <c r="Z13" s="88"/>
      <c r="AA13" s="88"/>
      <c r="AB13" s="88"/>
      <c r="AC13" s="88"/>
      <c r="AD13" s="88"/>
      <c r="AE13" s="88"/>
    </row>
    <row r="14" spans="2:31" ht="15" customHeight="1">
      <c r="C14" s="853" t="str">
        <f>IF(Indice_index!$Z$1=1,"Transferências Correntes","Current transfers")</f>
        <v>Current transfers</v>
      </c>
      <c r="D14" s="854">
        <f t="shared" ref="D14" si="6">+D15+D22</f>
        <v>6044.9386570400011</v>
      </c>
      <c r="E14" s="854">
        <f t="shared" ref="E14:F14" si="7">+E15+E22</f>
        <v>2316.2535272700002</v>
      </c>
      <c r="F14" s="854">
        <f t="shared" si="7"/>
        <v>2107.42152412</v>
      </c>
      <c r="G14" s="855">
        <f t="shared" si="0"/>
        <v>-9.0159389156391416</v>
      </c>
      <c r="H14" s="855">
        <f t="shared" si="3"/>
        <v>-5.3703937033981015</v>
      </c>
      <c r="I14" s="118"/>
      <c r="J14" s="88"/>
      <c r="K14" s="88"/>
      <c r="L14" s="428"/>
      <c r="M14" s="428"/>
      <c r="N14" s="295"/>
      <c r="O14" s="295"/>
      <c r="P14" s="295"/>
      <c r="Q14" s="88"/>
      <c r="R14" s="88"/>
      <c r="S14" s="88"/>
      <c r="T14" s="88"/>
      <c r="U14" s="88"/>
      <c r="V14" s="88"/>
      <c r="W14" s="88"/>
      <c r="X14" s="88"/>
      <c r="Y14" s="88"/>
      <c r="Z14" s="88"/>
      <c r="AA14" s="88"/>
      <c r="AB14" s="88"/>
      <c r="AC14" s="88"/>
      <c r="AD14" s="88"/>
      <c r="AE14" s="88"/>
    </row>
    <row r="15" spans="2:31" ht="15" customHeight="1">
      <c r="C15" s="856" t="str">
        <f>IF(Indice_index!$Z$1=1,"Orçamento do Estado","State Budget")</f>
        <v>State Budget</v>
      </c>
      <c r="D15" s="854">
        <f t="shared" ref="D15" si="8">+D16+D17</f>
        <v>5488.7991009999996</v>
      </c>
      <c r="E15" s="854">
        <f t="shared" ref="E15:F15" si="9">+E16+E17</f>
        <v>2116.9579760000001</v>
      </c>
      <c r="F15" s="854">
        <f t="shared" si="9"/>
        <v>1902.9471120000001</v>
      </c>
      <c r="G15" s="855">
        <f t="shared" si="0"/>
        <v>-10.109358165171251</v>
      </c>
      <c r="H15" s="855">
        <f t="shared" si="3"/>
        <v>-5.5035750227365794</v>
      </c>
      <c r="I15" s="118"/>
      <c r="J15" s="88"/>
      <c r="K15" s="88"/>
      <c r="L15" s="428"/>
      <c r="M15" s="428"/>
      <c r="N15" s="295"/>
      <c r="O15" s="295"/>
      <c r="P15" s="295"/>
      <c r="Q15" s="88"/>
      <c r="R15" s="88"/>
      <c r="S15" s="88"/>
      <c r="T15" s="88"/>
      <c r="U15" s="88"/>
      <c r="V15" s="88"/>
      <c r="W15" s="88"/>
      <c r="X15" s="88"/>
      <c r="Y15" s="88"/>
      <c r="Z15" s="88"/>
      <c r="AA15" s="88"/>
      <c r="AB15" s="88"/>
      <c r="AC15" s="88"/>
      <c r="AD15" s="88"/>
      <c r="AE15" s="88"/>
    </row>
    <row r="16" spans="2:31" ht="15" customHeight="1">
      <c r="C16" s="859" t="str">
        <f>IF(Indice_index!$Z$1=1,"Comparticipação do Orçamento do Estado","State Budget contributions")</f>
        <v>State Budget contributions</v>
      </c>
      <c r="D16" s="854">
        <v>5076.8823000000002</v>
      </c>
      <c r="E16" s="854">
        <v>1972.0654520000001</v>
      </c>
      <c r="F16" s="854">
        <v>1751.7022569999999</v>
      </c>
      <c r="G16" s="855">
        <f t="shared" si="0"/>
        <v>-11.174233328641069</v>
      </c>
      <c r="H16" s="855">
        <f t="shared" si="3"/>
        <v>-5.6669336932933954</v>
      </c>
      <c r="I16" s="118"/>
      <c r="J16" s="88"/>
      <c r="K16" s="88"/>
      <c r="L16" s="428"/>
      <c r="M16" s="428"/>
      <c r="N16" s="295"/>
      <c r="O16" s="295"/>
      <c r="P16" s="295"/>
      <c r="Q16" s="88"/>
      <c r="R16" s="88"/>
      <c r="S16" s="88"/>
      <c r="T16" s="88"/>
      <c r="U16" s="88"/>
      <c r="V16" s="88"/>
      <c r="W16" s="88"/>
      <c r="X16" s="88"/>
      <c r="Y16" s="88"/>
      <c r="Z16" s="88"/>
      <c r="AA16" s="88"/>
      <c r="AB16" s="88"/>
      <c r="AC16" s="88"/>
      <c r="AD16" s="88"/>
      <c r="AE16" s="88"/>
    </row>
    <row r="17" spans="3:31" ht="15" customHeight="1">
      <c r="C17" s="859" t="str">
        <f>IF(Indice_index!$Z$1=1,"Compensação por pagamento de pensões","Pension payment compensations")</f>
        <v>Pension payment compensations</v>
      </c>
      <c r="D17" s="854">
        <f>+D18+D19+D20+D21</f>
        <v>411.9168009999994</v>
      </c>
      <c r="E17" s="854">
        <f>+E18+E19+E20+E21</f>
        <v>144.89252400000009</v>
      </c>
      <c r="F17" s="854">
        <f>+F18+F19+F20+F21</f>
        <v>151.24485500000014</v>
      </c>
      <c r="G17" s="855">
        <f t="shared" si="0"/>
        <v>4.3841675364838322</v>
      </c>
      <c r="H17" s="855">
        <f t="shared" si="3"/>
        <v>0.16335867055681594</v>
      </c>
      <c r="I17" s="118"/>
      <c r="J17" s="88"/>
      <c r="K17" s="88"/>
      <c r="L17" s="428"/>
      <c r="M17" s="428"/>
      <c r="N17" s="295"/>
      <c r="O17" s="295"/>
      <c r="P17" s="295"/>
      <c r="Q17" s="88"/>
      <c r="R17" s="88"/>
      <c r="S17" s="88"/>
      <c r="T17" s="88"/>
      <c r="U17" s="88"/>
      <c r="V17" s="88"/>
      <c r="W17" s="88"/>
      <c r="X17" s="88"/>
      <c r="Y17" s="88"/>
      <c r="Z17" s="88"/>
      <c r="AA17" s="88"/>
      <c r="AB17" s="88"/>
      <c r="AC17" s="88"/>
      <c r="AD17" s="88"/>
      <c r="AE17" s="88"/>
    </row>
    <row r="18" spans="3:31" s="121" customFormat="1" ht="15" customHeight="1">
      <c r="C18" s="860" t="str">
        <f>IF(Indice_index!$Z$1=1,"Deficientes das Forças Armadas / Invalidez","Armed Forces handicapped / disability")</f>
        <v>Armed Forces handicapped / disability</v>
      </c>
      <c r="D18" s="854">
        <v>169.15</v>
      </c>
      <c r="E18" s="854">
        <v>60.835000000000001</v>
      </c>
      <c r="F18" s="854">
        <v>59.884399999999999</v>
      </c>
      <c r="G18" s="855">
        <f t="shared" si="0"/>
        <v>-1.5625873263746222</v>
      </c>
      <c r="H18" s="855">
        <f t="shared" si="3"/>
        <v>-2.4445947831010104E-2</v>
      </c>
      <c r="I18" s="118"/>
      <c r="J18" s="88"/>
      <c r="K18" s="88"/>
      <c r="L18" s="428"/>
      <c r="M18" s="428"/>
      <c r="N18" s="295"/>
      <c r="O18" s="295"/>
      <c r="P18" s="295"/>
      <c r="Q18" s="88"/>
      <c r="R18" s="88"/>
      <c r="S18" s="88"/>
      <c r="T18" s="88"/>
      <c r="U18" s="88"/>
      <c r="V18" s="88"/>
      <c r="W18" s="88"/>
      <c r="X18" s="88"/>
      <c r="Y18" s="88"/>
      <c r="Z18" s="88"/>
      <c r="AA18" s="88"/>
      <c r="AB18" s="88"/>
      <c r="AC18" s="88"/>
      <c r="AD18" s="88"/>
      <c r="AE18" s="88"/>
    </row>
    <row r="19" spans="3:31" s="121" customFormat="1" ht="15" customHeight="1">
      <c r="C19" s="860" t="str">
        <f>IF(Indice_index!$Z$1=1,"Subvenções vitalícias","Lifetime grants")</f>
        <v>Lifetime grants</v>
      </c>
      <c r="D19" s="854">
        <v>8.1715</v>
      </c>
      <c r="E19" s="854">
        <v>3.4815</v>
      </c>
      <c r="F19" s="854">
        <v>2.535428</v>
      </c>
      <c r="G19" s="855">
        <f t="shared" si="0"/>
        <v>-27.174263966681028</v>
      </c>
      <c r="H19" s="855">
        <f t="shared" si="3"/>
        <v>-2.4329504267177948E-2</v>
      </c>
      <c r="I19" s="118"/>
      <c r="J19" s="88"/>
      <c r="K19" s="88"/>
      <c r="L19" s="428"/>
      <c r="M19" s="428"/>
      <c r="N19" s="295"/>
      <c r="O19" s="295"/>
      <c r="P19" s="295"/>
      <c r="Q19" s="88"/>
      <c r="R19" s="88"/>
      <c r="S19" s="88"/>
      <c r="T19" s="88"/>
      <c r="U19" s="88"/>
      <c r="V19" s="88"/>
      <c r="W19" s="88"/>
      <c r="X19" s="88"/>
      <c r="Y19" s="88"/>
      <c r="Z19" s="88"/>
      <c r="AA19" s="88"/>
      <c r="AB19" s="88"/>
      <c r="AC19" s="88"/>
      <c r="AD19" s="88"/>
      <c r="AE19" s="88"/>
    </row>
    <row r="20" spans="3:31" ht="15" customHeight="1">
      <c r="C20" s="860" t="str">
        <f>IF(Indice_index!$Z$1=1,"Pensões de preço de sangue","Blood price pensions")</f>
        <v>Blood price pensions</v>
      </c>
      <c r="D20" s="854">
        <v>29.667999999999999</v>
      </c>
      <c r="E20" s="854">
        <v>10.577999999999999</v>
      </c>
      <c r="F20" s="854">
        <v>10.285</v>
      </c>
      <c r="G20" s="855">
        <f t="shared" si="0"/>
        <v>-2.7698997920211692</v>
      </c>
      <c r="H20" s="855">
        <f t="shared" si="3"/>
        <v>-7.5348860871932788E-3</v>
      </c>
      <c r="I20" s="118"/>
      <c r="J20" s="88"/>
      <c r="K20" s="88"/>
      <c r="L20" s="428"/>
      <c r="M20" s="428"/>
      <c r="N20" s="295"/>
      <c r="O20" s="295"/>
      <c r="P20" s="295"/>
      <c r="Q20" s="88"/>
      <c r="R20" s="88"/>
      <c r="S20" s="88"/>
      <c r="T20" s="88"/>
      <c r="U20" s="88"/>
      <c r="V20" s="88"/>
      <c r="W20" s="88"/>
      <c r="X20" s="88"/>
      <c r="Y20" s="88"/>
      <c r="Z20" s="88"/>
      <c r="AA20" s="88"/>
      <c r="AB20" s="88"/>
      <c r="AC20" s="88"/>
      <c r="AD20" s="88"/>
      <c r="AE20" s="88"/>
    </row>
    <row r="21" spans="3:31" ht="15" customHeight="1">
      <c r="C21" s="860" t="str">
        <f>IF(Indice_index!$Z$1=1,"Outras","Others")</f>
        <v>Others</v>
      </c>
      <c r="D21" s="854">
        <v>204.92730099999937</v>
      </c>
      <c r="E21" s="854">
        <v>69.998024000000086</v>
      </c>
      <c r="F21" s="854">
        <v>78.540027000000151</v>
      </c>
      <c r="G21" s="855">
        <f t="shared" ref="G21:G25" si="10">IF(IFERROR((F21-E21)/E21*100,"")&gt;500,"-",IFERROR((F21-E21)/E21*100,""))</f>
        <v>12.203205907641127</v>
      </c>
      <c r="H21" s="855">
        <f t="shared" si="3"/>
        <v>0.21966900874219761</v>
      </c>
      <c r="I21" s="118"/>
      <c r="J21" s="88"/>
      <c r="K21" s="88"/>
      <c r="L21" s="428"/>
      <c r="M21" s="428"/>
      <c r="N21" s="295"/>
      <c r="O21" s="295"/>
      <c r="P21" s="295"/>
      <c r="Q21" s="88"/>
      <c r="R21" s="88"/>
      <c r="S21" s="88"/>
      <c r="T21" s="88"/>
      <c r="U21" s="88"/>
      <c r="V21" s="88"/>
      <c r="W21" s="88"/>
      <c r="X21" s="88"/>
      <c r="Y21" s="88"/>
      <c r="Z21" s="88"/>
      <c r="AA21" s="88"/>
      <c r="AB21" s="88"/>
      <c r="AC21" s="88"/>
      <c r="AD21" s="88"/>
      <c r="AE21" s="88"/>
    </row>
    <row r="22" spans="3:31" ht="15" customHeight="1">
      <c r="C22" s="856" t="str">
        <f>IF(Indice_index!$Z$1=1,"Outras transferências correntes","Other current transfers")</f>
        <v>Other current transfers</v>
      </c>
      <c r="D22" s="854">
        <v>556.13955604000148</v>
      </c>
      <c r="E22" s="854">
        <v>199.29555127000003</v>
      </c>
      <c r="F22" s="854">
        <v>204.4744121199999</v>
      </c>
      <c r="G22" s="855">
        <f>IF(IFERROR((F22-E22)/E22*100,"")&gt;500,"-",IFERROR((F22-E22)/E22*100,""))</f>
        <v>2.5985832684161068</v>
      </c>
      <c r="H22" s="855">
        <f t="shared" si="3"/>
        <v>0.13318131933847796</v>
      </c>
      <c r="I22" s="118"/>
      <c r="J22" s="88"/>
      <c r="K22" s="88"/>
      <c r="L22" s="428"/>
      <c r="M22" s="428"/>
      <c r="N22" s="295"/>
      <c r="O22" s="327"/>
      <c r="P22" s="295"/>
      <c r="Q22" s="88"/>
      <c r="R22" s="88"/>
      <c r="S22" s="88"/>
      <c r="T22" s="88"/>
      <c r="U22" s="88"/>
      <c r="V22" s="88"/>
      <c r="W22" s="88"/>
      <c r="X22" s="88"/>
      <c r="Y22" s="88"/>
      <c r="Z22" s="88"/>
      <c r="AA22" s="88"/>
      <c r="AB22" s="88"/>
      <c r="AC22" s="88"/>
      <c r="AD22" s="88"/>
      <c r="AE22" s="88"/>
    </row>
    <row r="23" spans="3:31" ht="15" customHeight="1">
      <c r="C23" s="853" t="str">
        <f>IF(Indice_index!$Z$1=1,"Outras receitas correntes","Other current revenue")</f>
        <v>Other current revenue</v>
      </c>
      <c r="D23" s="854">
        <v>202.10897343999932</v>
      </c>
      <c r="E23" s="854">
        <v>66.935201270000107</v>
      </c>
      <c r="F23" s="854">
        <v>132.34211821999952</v>
      </c>
      <c r="G23" s="855">
        <f>IF(IFERROR((F23-E23)/E23*100,"")&gt;500,"-",IFERROR((F23-E23)/E23*100,""))</f>
        <v>97.716770412273846</v>
      </c>
      <c r="H23" s="855">
        <f t="shared" si="3"/>
        <v>1.6820261724667513</v>
      </c>
      <c r="I23" s="118"/>
      <c r="J23" s="88"/>
      <c r="K23" s="88"/>
      <c r="L23" s="428"/>
      <c r="M23" s="428"/>
      <c r="N23" s="295"/>
      <c r="O23" s="295"/>
      <c r="P23" s="295"/>
      <c r="Q23" s="88"/>
      <c r="R23" s="88"/>
      <c r="S23" s="88"/>
      <c r="T23" s="88"/>
      <c r="U23" s="88"/>
      <c r="V23" s="88"/>
      <c r="W23" s="88"/>
      <c r="X23" s="88"/>
      <c r="Y23" s="88"/>
      <c r="Z23" s="88"/>
      <c r="AA23" s="88"/>
      <c r="AB23" s="88"/>
      <c r="AC23" s="88"/>
      <c r="AD23" s="88"/>
      <c r="AE23" s="88"/>
    </row>
    <row r="24" spans="3:31" s="292" customFormat="1" ht="15" customHeight="1">
      <c r="C24" s="851" t="str">
        <f>IF(Indice_index!$Z$1=1,"Receita de capital","Capital revenue")</f>
        <v>Capital revenue</v>
      </c>
      <c r="D24" s="851">
        <f t="shared" ref="D24:F24" si="11">+D25</f>
        <v>0</v>
      </c>
      <c r="E24" s="851">
        <f t="shared" si="11"/>
        <v>0</v>
      </c>
      <c r="F24" s="851">
        <f t="shared" si="11"/>
        <v>1.511941E-2</v>
      </c>
      <c r="G24" s="852" t="str">
        <f>IF(IFERROR((F24-E24)/E24*100,"")&gt;500,"-",IFERROR((F24-E24)/E24*100,""))</f>
        <v>-</v>
      </c>
      <c r="H24" s="852">
        <f t="shared" si="3"/>
        <v>3.88815809063383E-4</v>
      </c>
      <c r="J24" s="295"/>
      <c r="K24" s="295"/>
      <c r="L24" s="428"/>
      <c r="M24" s="428"/>
      <c r="N24" s="295"/>
      <c r="O24" s="295"/>
      <c r="P24" s="295"/>
      <c r="Q24" s="295"/>
      <c r="R24" s="295"/>
      <c r="S24" s="295"/>
      <c r="T24" s="295"/>
      <c r="U24" s="295"/>
      <c r="V24" s="295"/>
      <c r="W24" s="295"/>
      <c r="X24" s="295"/>
      <c r="Y24" s="295"/>
      <c r="Z24" s="295"/>
      <c r="AA24" s="295"/>
      <c r="AB24" s="295"/>
      <c r="AC24" s="295"/>
      <c r="AD24" s="295"/>
      <c r="AE24" s="295"/>
    </row>
    <row r="25" spans="3:31" ht="15" customHeight="1">
      <c r="C25" s="853" t="str">
        <f>IF(Indice_index!$Z$1=1,"Transferências de Capital","Capital transfers")</f>
        <v>Capital transfers</v>
      </c>
      <c r="D25" s="854">
        <v>0</v>
      </c>
      <c r="E25" s="854">
        <v>0</v>
      </c>
      <c r="F25" s="854">
        <v>1.511941E-2</v>
      </c>
      <c r="G25" s="855" t="str">
        <f t="shared" si="10"/>
        <v>-</v>
      </c>
      <c r="H25" s="855">
        <f t="shared" si="3"/>
        <v>3.88815809063383E-4</v>
      </c>
      <c r="I25" s="118"/>
      <c r="J25" s="88"/>
      <c r="K25" s="88"/>
      <c r="L25" s="428"/>
      <c r="M25" s="428"/>
      <c r="N25" s="295"/>
      <c r="O25" s="295"/>
      <c r="P25" s="295"/>
      <c r="Q25" s="88"/>
      <c r="R25" s="88"/>
      <c r="S25" s="88"/>
      <c r="T25" s="88"/>
      <c r="U25" s="88"/>
      <c r="V25" s="88"/>
      <c r="W25" s="88"/>
      <c r="X25" s="88"/>
      <c r="Y25" s="88"/>
      <c r="Z25" s="88"/>
      <c r="AA25" s="88"/>
      <c r="AB25" s="88"/>
      <c r="AC25" s="88"/>
      <c r="AD25" s="88"/>
      <c r="AE25" s="88"/>
    </row>
    <row r="26" spans="3:31" ht="4.5" customHeight="1">
      <c r="C26" s="854"/>
      <c r="D26" s="854"/>
      <c r="E26" s="854"/>
      <c r="F26" s="854"/>
      <c r="G26" s="855"/>
      <c r="H26" s="855"/>
      <c r="I26" s="118"/>
      <c r="J26" s="88"/>
      <c r="K26" s="88"/>
      <c r="L26" s="428"/>
      <c r="M26" s="428"/>
      <c r="N26" s="295"/>
      <c r="O26" s="295"/>
      <c r="P26" s="295"/>
      <c r="S26" s="88"/>
      <c r="T26" s="88"/>
      <c r="U26" s="88"/>
      <c r="V26" s="88"/>
      <c r="W26" s="88"/>
      <c r="X26" s="88"/>
      <c r="Y26" s="88"/>
      <c r="Z26" s="88"/>
      <c r="AA26" s="88"/>
      <c r="AB26" s="88"/>
      <c r="AC26" s="88"/>
      <c r="AD26" s="88"/>
      <c r="AE26" s="88"/>
    </row>
    <row r="27" spans="3:31" s="292" customFormat="1" ht="15" customHeight="1">
      <c r="C27" s="794" t="str">
        <f>IF(Indice_index!$Z$1=1,"Receita Efectiva","Effective revenue")</f>
        <v>Effective revenue</v>
      </c>
      <c r="D27" s="794">
        <f>+D8+D24</f>
        <v>10366.37250845</v>
      </c>
      <c r="E27" s="794">
        <f>+E8+E24</f>
        <v>3888.5790257400004</v>
      </c>
      <c r="F27" s="794">
        <f>+F8+F24</f>
        <v>3670.0382365199994</v>
      </c>
      <c r="G27" s="861">
        <f t="shared" ref="G27:G45" si="12">IF(E27=0,"-",(F27-E27)/E27*100)</f>
        <v>-5.6200680961707459</v>
      </c>
      <c r="H27" s="861"/>
      <c r="J27" s="295"/>
      <c r="K27" s="295"/>
      <c r="L27" s="428"/>
      <c r="M27" s="428"/>
      <c r="N27" s="295"/>
      <c r="O27" s="295"/>
      <c r="P27" s="295"/>
      <c r="S27" s="295"/>
      <c r="T27" s="295"/>
      <c r="U27" s="295"/>
      <c r="V27" s="295"/>
      <c r="W27" s="295"/>
      <c r="X27" s="295"/>
      <c r="Y27" s="295"/>
      <c r="Z27" s="295"/>
      <c r="AA27" s="295"/>
      <c r="AB27" s="295"/>
      <c r="AC27" s="295"/>
      <c r="AD27" s="295"/>
      <c r="AE27" s="295"/>
    </row>
    <row r="28" spans="3:31" ht="4.5" customHeight="1">
      <c r="C28" s="862"/>
      <c r="D28" s="854"/>
      <c r="E28" s="854"/>
      <c r="F28" s="854"/>
      <c r="G28" s="855"/>
      <c r="H28" s="855"/>
      <c r="I28" s="118"/>
      <c r="J28" s="88"/>
      <c r="K28" s="88"/>
      <c r="L28" s="428"/>
      <c r="M28" s="428"/>
      <c r="N28" s="295"/>
      <c r="O28" s="295"/>
      <c r="P28" s="295"/>
      <c r="S28" s="88"/>
      <c r="T28" s="88"/>
      <c r="U28" s="88"/>
      <c r="V28" s="88"/>
      <c r="W28" s="88"/>
      <c r="X28" s="88"/>
      <c r="Y28" s="88"/>
      <c r="Z28" s="88"/>
      <c r="AA28" s="88"/>
      <c r="AB28" s="88"/>
      <c r="AC28" s="88"/>
      <c r="AD28" s="88"/>
      <c r="AE28" s="88"/>
    </row>
    <row r="29" spans="3:31" s="292" customFormat="1" ht="15" customHeight="1">
      <c r="C29" s="851" t="str">
        <f>IF(Indice_index!$Z$1=1,"Despesa Corrente","Current expenditure")</f>
        <v>Current expenditure</v>
      </c>
      <c r="D29" s="851">
        <f t="shared" ref="D29" si="13">+D30+D34+D35+D36+D42</f>
        <v>10285.655430229999</v>
      </c>
      <c r="E29" s="851">
        <f t="shared" ref="E29:F29" si="14">+E30+E34+E35+E36+E42</f>
        <v>3692.3737632900002</v>
      </c>
      <c r="F29" s="851">
        <f t="shared" si="14"/>
        <v>3748.7332794500003</v>
      </c>
      <c r="G29" s="852">
        <f t="shared" ref="G29:G43" si="15">IF(IFERROR((F29-E29)/E29*100,"")&gt;500,"-",IFERROR((F29-E29)/E29*100,""))</f>
        <v>1.5263762493475832</v>
      </c>
      <c r="H29" s="852">
        <f>IFERROR((F29-E29)/$E$45*100,"-")</f>
        <v>1.5263762493475832</v>
      </c>
      <c r="J29" s="295"/>
      <c r="K29" s="295"/>
      <c r="L29" s="428"/>
      <c r="M29" s="428"/>
      <c r="N29" s="295"/>
      <c r="O29" s="295"/>
      <c r="P29" s="295"/>
      <c r="S29" s="295"/>
      <c r="T29" s="295"/>
      <c r="U29" s="295"/>
      <c r="V29" s="295"/>
      <c r="W29" s="295"/>
      <c r="X29" s="295"/>
      <c r="Y29" s="295"/>
      <c r="Z29" s="295"/>
      <c r="AA29" s="295"/>
      <c r="AB29" s="295"/>
      <c r="AC29" s="295"/>
      <c r="AD29" s="295"/>
      <c r="AE29" s="295"/>
    </row>
    <row r="30" spans="3:31" ht="15" customHeight="1">
      <c r="C30" s="853" t="str">
        <f>IF(Indice_index!$Z$1=1,"Despesas com o pessoal","Employees")</f>
        <v>Employees</v>
      </c>
      <c r="D30" s="854">
        <f t="shared" ref="D30" si="16">+D31+D32+D33</f>
        <v>7.6524922199999992</v>
      </c>
      <c r="E30" s="854">
        <f t="shared" ref="E30:F30" si="17">+E31+E32+E33</f>
        <v>3.3797628200000003</v>
      </c>
      <c r="F30" s="854">
        <f t="shared" si="17"/>
        <v>3.28280349</v>
      </c>
      <c r="G30" s="855">
        <f t="shared" si="15"/>
        <v>-2.8688205404898861</v>
      </c>
      <c r="H30" s="855">
        <f t="shared" ref="H30:H43" si="18">IFERROR((F30-E30)/$E$45*100,"-")</f>
        <v>-2.6259348650990028E-3</v>
      </c>
      <c r="I30" s="118"/>
      <c r="J30" s="88"/>
      <c r="K30" s="88"/>
      <c r="L30" s="428"/>
      <c r="M30" s="428"/>
      <c r="N30" s="295"/>
      <c r="O30" s="295"/>
      <c r="P30" s="295"/>
      <c r="S30" s="88"/>
      <c r="T30" s="88"/>
      <c r="U30" s="88"/>
      <c r="V30" s="88"/>
      <c r="W30" s="88"/>
      <c r="X30" s="88"/>
      <c r="Y30" s="88"/>
      <c r="Z30" s="88"/>
      <c r="AA30" s="88"/>
      <c r="AB30" s="88"/>
      <c r="AC30" s="88"/>
      <c r="AD30" s="88"/>
      <c r="AE30" s="88"/>
    </row>
    <row r="31" spans="3:31" ht="15" customHeight="1">
      <c r="C31" s="856" t="str">
        <f>IF(Indice_index!$Z$1=1,"Remunerações Certas e Permanentes","Certain and permanent wages")</f>
        <v>Certain and permanent wages</v>
      </c>
      <c r="D31" s="854">
        <v>7.8590489999999985E-2</v>
      </c>
      <c r="E31" s="854">
        <v>3.2746040000000004E-2</v>
      </c>
      <c r="F31" s="854">
        <v>5.5793500000000003E-3</v>
      </c>
      <c r="G31" s="855">
        <f t="shared" si="15"/>
        <v>-82.961756597133572</v>
      </c>
      <c r="H31" s="855">
        <f t="shared" si="18"/>
        <v>-7.3575135513350039E-4</v>
      </c>
      <c r="I31" s="118"/>
      <c r="J31" s="88"/>
      <c r="K31" s="88"/>
      <c r="L31" s="428"/>
      <c r="M31" s="428"/>
      <c r="N31" s="295"/>
      <c r="O31" s="295"/>
      <c r="P31" s="295"/>
      <c r="S31" s="88"/>
      <c r="T31" s="88"/>
      <c r="U31" s="88"/>
      <c r="V31" s="88"/>
      <c r="W31" s="88"/>
      <c r="X31" s="88"/>
      <c r="Y31" s="88"/>
      <c r="Z31" s="88"/>
      <c r="AA31" s="88"/>
      <c r="AB31" s="88"/>
      <c r="AC31" s="88"/>
      <c r="AD31" s="88"/>
      <c r="AE31" s="88"/>
    </row>
    <row r="32" spans="3:31" ht="15" customHeight="1">
      <c r="C32" s="856" t="str">
        <f>IF(Indice_index!$Z$1=1,"Abonos Variáveis ou Eventuais","Variable or contingent bonuses")</f>
        <v>Variable or contingent bonuses</v>
      </c>
      <c r="D32" s="854">
        <v>0</v>
      </c>
      <c r="E32" s="854">
        <v>0</v>
      </c>
      <c r="F32" s="854">
        <v>0</v>
      </c>
      <c r="G32" s="855" t="str">
        <f t="shared" si="15"/>
        <v>-</v>
      </c>
      <c r="H32" s="855">
        <f t="shared" si="18"/>
        <v>0</v>
      </c>
      <c r="I32" s="118"/>
      <c r="J32" s="88"/>
      <c r="K32" s="88"/>
      <c r="L32" s="428"/>
      <c r="M32" s="428"/>
      <c r="N32" s="295"/>
      <c r="O32" s="295"/>
      <c r="P32" s="295"/>
      <c r="S32" s="88"/>
      <c r="T32" s="88"/>
      <c r="U32" s="88"/>
      <c r="V32" s="88"/>
      <c r="W32" s="88"/>
      <c r="X32" s="88"/>
      <c r="Y32" s="88"/>
      <c r="Z32" s="88"/>
      <c r="AA32" s="88"/>
      <c r="AB32" s="88"/>
      <c r="AC32" s="88"/>
      <c r="AD32" s="88"/>
      <c r="AE32" s="88"/>
    </row>
    <row r="33" spans="3:31" ht="15" customHeight="1">
      <c r="C33" s="856" t="str">
        <f>IF(Indice_index!$Z$1=1,"Segurança social","Social security")</f>
        <v>Social security</v>
      </c>
      <c r="D33" s="854">
        <v>7.5739017299999993</v>
      </c>
      <c r="E33" s="854">
        <v>3.3470167800000001</v>
      </c>
      <c r="F33" s="854">
        <v>3.27722414</v>
      </c>
      <c r="G33" s="855">
        <f t="shared" si="15"/>
        <v>-2.0852193038602032</v>
      </c>
      <c r="H33" s="855">
        <f t="shared" si="18"/>
        <v>-1.890183509965501E-3</v>
      </c>
      <c r="I33" s="118"/>
      <c r="J33" s="88"/>
      <c r="K33" s="88"/>
      <c r="L33" s="428"/>
      <c r="M33" s="428"/>
      <c r="N33" s="295"/>
      <c r="O33" s="295"/>
      <c r="P33" s="295"/>
      <c r="S33" s="88"/>
      <c r="T33" s="88"/>
      <c r="U33" s="88"/>
      <c r="V33" s="88"/>
      <c r="W33" s="88"/>
      <c r="X33" s="88"/>
      <c r="Y33" s="88"/>
      <c r="Z33" s="88"/>
      <c r="AA33" s="88"/>
      <c r="AB33" s="88"/>
      <c r="AC33" s="88"/>
      <c r="AD33" s="88"/>
      <c r="AE33" s="88"/>
    </row>
    <row r="34" spans="3:31" ht="15" customHeight="1">
      <c r="C34" s="853" t="str">
        <f>IF(Indice_index!$Z$1=1,"Aquisição de bens e serviços","Purchase of goods and services")</f>
        <v>Purchase of goods and services</v>
      </c>
      <c r="D34" s="854">
        <v>21.20756514</v>
      </c>
      <c r="E34" s="854">
        <v>11.79730215</v>
      </c>
      <c r="F34" s="854">
        <v>10.85761246</v>
      </c>
      <c r="G34" s="855">
        <f t="shared" si="15"/>
        <v>-7.9652930649063673</v>
      </c>
      <c r="H34" s="855">
        <f t="shared" si="18"/>
        <v>-2.544947370557395E-2</v>
      </c>
      <c r="I34" s="118"/>
      <c r="J34" s="88"/>
      <c r="K34" s="88"/>
      <c r="L34" s="428"/>
      <c r="M34" s="428"/>
      <c r="N34" s="295"/>
      <c r="O34" s="295"/>
      <c r="P34" s="295"/>
      <c r="S34" s="88"/>
      <c r="T34" s="88"/>
      <c r="U34" s="88"/>
      <c r="V34" s="88"/>
      <c r="W34" s="88"/>
      <c r="X34" s="88"/>
      <c r="Y34" s="88"/>
      <c r="Z34" s="88"/>
      <c r="AA34" s="88"/>
      <c r="AB34" s="88"/>
      <c r="AC34" s="88"/>
      <c r="AD34" s="88"/>
      <c r="AE34" s="88"/>
    </row>
    <row r="35" spans="3:31" ht="15" customHeight="1">
      <c r="C35" s="853" t="str">
        <f>IF(Indice_index!$Z$1=1,"Juros e outros encargos","Interests and other charges")</f>
        <v>Interests and other charges</v>
      </c>
      <c r="D35" s="854">
        <v>0.47930070000000002</v>
      </c>
      <c r="E35" s="854">
        <v>0.26109574000000002</v>
      </c>
      <c r="F35" s="854">
        <v>0.21550997</v>
      </c>
      <c r="G35" s="855">
        <f t="shared" si="15"/>
        <v>-17.459407801904398</v>
      </c>
      <c r="H35" s="855">
        <f t="shared" si="18"/>
        <v>-1.2345925120912443E-3</v>
      </c>
      <c r="I35" s="118"/>
      <c r="J35" s="88"/>
      <c r="K35" s="88"/>
      <c r="L35" s="428"/>
      <c r="M35" s="428"/>
      <c r="N35" s="295"/>
      <c r="O35" s="295"/>
      <c r="P35" s="295"/>
      <c r="S35" s="88"/>
      <c r="T35" s="88"/>
      <c r="U35" s="88"/>
      <c r="V35" s="88"/>
      <c r="W35" s="88"/>
      <c r="X35" s="88"/>
      <c r="Y35" s="88"/>
      <c r="Z35" s="88"/>
      <c r="AA35" s="88"/>
      <c r="AB35" s="88"/>
      <c r="AC35" s="88"/>
      <c r="AD35" s="88"/>
      <c r="AE35" s="88"/>
    </row>
    <row r="36" spans="3:31" ht="15" customHeight="1">
      <c r="C36" s="853" t="str">
        <f>IF(Indice_index!$Z$1=1,"Transferências","Transfers")</f>
        <v>Transfers</v>
      </c>
      <c r="D36" s="854">
        <f t="shared" ref="D36" si="19">+D38+D39+D40+D41</f>
        <v>10253.553413249998</v>
      </c>
      <c r="E36" s="854">
        <f t="shared" ref="E36:F36" si="20">+E38+E39+E40+E41</f>
        <v>3675.3949541500001</v>
      </c>
      <c r="F36" s="854">
        <f t="shared" si="20"/>
        <v>3733.5606964600001</v>
      </c>
      <c r="G36" s="855">
        <f t="shared" si="15"/>
        <v>1.582571207601059</v>
      </c>
      <c r="H36" s="855">
        <f t="shared" si="18"/>
        <v>1.5752939988982282</v>
      </c>
      <c r="I36" s="118"/>
      <c r="J36" s="88"/>
      <c r="K36" s="88"/>
      <c r="L36" s="428"/>
      <c r="M36" s="428"/>
      <c r="N36" s="295"/>
      <c r="O36" s="295"/>
      <c r="P36" s="295"/>
      <c r="S36" s="88"/>
      <c r="T36" s="88"/>
      <c r="U36" s="88"/>
      <c r="V36" s="88"/>
      <c r="W36" s="88"/>
      <c r="X36" s="88"/>
      <c r="Y36" s="88"/>
      <c r="Z36" s="88"/>
      <c r="AA36" s="88"/>
      <c r="AB36" s="88"/>
      <c r="AC36" s="88"/>
      <c r="AD36" s="88"/>
      <c r="AE36" s="88"/>
    </row>
    <row r="37" spans="3:31" ht="15" customHeight="1">
      <c r="C37" s="856" t="str">
        <f>IF(Indice_index!$Z$1=1,"Pensões e abonos da responsabilidade de:","Liability for pensions and allowances from:")</f>
        <v>Liability for pensions and allowances from:</v>
      </c>
      <c r="D37" s="854"/>
      <c r="E37" s="854"/>
      <c r="F37" s="854"/>
      <c r="G37" s="855"/>
      <c r="H37" s="855">
        <f t="shared" si="18"/>
        <v>0</v>
      </c>
      <c r="I37" s="118"/>
      <c r="J37" s="88"/>
      <c r="K37" s="88"/>
      <c r="L37" s="428"/>
      <c r="M37" s="428"/>
      <c r="N37" s="295"/>
      <c r="O37" s="295"/>
      <c r="P37" s="295"/>
      <c r="S37" s="88"/>
      <c r="T37" s="88"/>
      <c r="U37" s="88"/>
      <c r="V37" s="88"/>
      <c r="W37" s="88"/>
      <c r="X37" s="88"/>
      <c r="Y37" s="88"/>
      <c r="Z37" s="88"/>
      <c r="AA37" s="88"/>
      <c r="AB37" s="88"/>
      <c r="AC37" s="88"/>
      <c r="AD37" s="88"/>
      <c r="AE37" s="88"/>
    </row>
    <row r="38" spans="3:31" ht="15" customHeight="1">
      <c r="C38" s="859" t="str">
        <f>IF(Indice_index!$Z$1=1,"Caixa Geral de Aposentações","Public Servants Social Scheme")</f>
        <v>Public Servants Social Scheme</v>
      </c>
      <c r="D38" s="854">
        <v>9004.9276782299985</v>
      </c>
      <c r="E38" s="854">
        <v>3227.0095663900001</v>
      </c>
      <c r="F38" s="854">
        <v>3269.9588724799996</v>
      </c>
      <c r="G38" s="855">
        <f t="shared" si="15"/>
        <v>1.3309320969273148</v>
      </c>
      <c r="H38" s="855">
        <f t="shared" si="18"/>
        <v>1.1631895588958618</v>
      </c>
      <c r="I38" s="118"/>
      <c r="J38" s="88"/>
      <c r="K38" s="88"/>
      <c r="L38" s="428"/>
      <c r="M38" s="428"/>
      <c r="N38" s="295"/>
      <c r="O38" s="295"/>
      <c r="P38" s="295"/>
      <c r="S38" s="88"/>
      <c r="T38" s="88"/>
      <c r="U38" s="88"/>
      <c r="V38" s="88"/>
      <c r="W38" s="88"/>
      <c r="X38" s="88"/>
      <c r="Y38" s="88"/>
      <c r="Z38" s="88"/>
      <c r="AA38" s="88"/>
      <c r="AB38" s="88"/>
      <c r="AC38" s="88"/>
      <c r="AD38" s="88"/>
      <c r="AE38" s="88"/>
    </row>
    <row r="39" spans="3:31" ht="15" customHeight="1">
      <c r="C39" s="859" t="str">
        <f>IF(Indice_index!$Z$1=1,"Orçamento do Estado","State Budget")</f>
        <v>State Budget</v>
      </c>
      <c r="D39" s="854">
        <v>396.60070667000002</v>
      </c>
      <c r="E39" s="854">
        <v>139.22756696000002</v>
      </c>
      <c r="F39" s="854">
        <v>146.32771309</v>
      </c>
      <c r="G39" s="855">
        <f t="shared" si="15"/>
        <v>5.099669760112846</v>
      </c>
      <c r="H39" s="855">
        <f t="shared" si="18"/>
        <v>0.19229218343469029</v>
      </c>
      <c r="I39" s="118"/>
      <c r="J39" s="88"/>
      <c r="K39" s="88"/>
      <c r="L39" s="428"/>
      <c r="M39" s="428"/>
      <c r="N39" s="295"/>
      <c r="O39" s="295"/>
      <c r="P39" s="295"/>
      <c r="S39" s="88"/>
      <c r="T39" s="88"/>
      <c r="U39" s="88"/>
      <c r="V39" s="88"/>
      <c r="W39" s="88"/>
      <c r="X39" s="88"/>
      <c r="Y39" s="88"/>
      <c r="Z39" s="88"/>
      <c r="AA39" s="88"/>
      <c r="AB39" s="88"/>
      <c r="AC39" s="88"/>
      <c r="AD39" s="88"/>
      <c r="AE39" s="88"/>
    </row>
    <row r="40" spans="3:31" ht="15" customHeight="1">
      <c r="C40" s="859" t="str">
        <f>IF(Indice_index!$Z$1=1,"Outras entidades","Other entities")</f>
        <v>Other entities</v>
      </c>
      <c r="D40" s="854">
        <v>660.48834474</v>
      </c>
      <c r="E40" s="854">
        <v>241.0792209</v>
      </c>
      <c r="F40" s="854">
        <v>245.55883276</v>
      </c>
      <c r="G40" s="855">
        <f t="shared" si="15"/>
        <v>1.8581493018256248</v>
      </c>
      <c r="H40" s="855">
        <f t="shared" si="18"/>
        <v>0.12132065026939626</v>
      </c>
      <c r="I40" s="118"/>
      <c r="J40" s="88"/>
      <c r="K40" s="88"/>
      <c r="L40" s="428"/>
      <c r="M40" s="428"/>
      <c r="N40" s="295"/>
      <c r="O40" s="295"/>
      <c r="P40" s="295"/>
      <c r="S40" s="88"/>
      <c r="T40" s="88"/>
      <c r="U40" s="88"/>
      <c r="V40" s="88"/>
      <c r="W40" s="88"/>
      <c r="X40" s="88"/>
      <c r="Y40" s="88"/>
      <c r="Z40" s="88"/>
      <c r="AA40" s="88"/>
      <c r="AB40" s="88"/>
      <c r="AC40" s="88"/>
      <c r="AD40" s="88"/>
      <c r="AE40" s="88"/>
    </row>
    <row r="41" spans="3:31" ht="15" customHeight="1">
      <c r="C41" s="856" t="str">
        <f>IF(Indice_index!$Z$1=1,"Outras transferências correntes","Other current transfers")</f>
        <v>Other current transfers</v>
      </c>
      <c r="D41" s="854">
        <v>191.53668360999757</v>
      </c>
      <c r="E41" s="863">
        <v>68.078599899999972</v>
      </c>
      <c r="F41" s="863">
        <v>71.715278130000542</v>
      </c>
      <c r="G41" s="855">
        <f t="shared" si="15"/>
        <v>5.3418816417236146</v>
      </c>
      <c r="H41" s="855">
        <f t="shared" si="18"/>
        <v>9.8491606298279924E-2</v>
      </c>
      <c r="I41" s="118"/>
      <c r="J41" s="88"/>
      <c r="K41" s="88"/>
      <c r="L41" s="428"/>
      <c r="M41" s="428"/>
      <c r="N41" s="295"/>
      <c r="O41" s="295"/>
      <c r="P41" s="295"/>
      <c r="S41" s="88"/>
      <c r="T41" s="88"/>
      <c r="U41" s="88"/>
      <c r="V41" s="88"/>
      <c r="W41" s="88"/>
      <c r="X41" s="88"/>
      <c r="Y41" s="88"/>
      <c r="Z41" s="88"/>
      <c r="AA41" s="88"/>
      <c r="AB41" s="88"/>
      <c r="AC41" s="88"/>
      <c r="AD41" s="88"/>
      <c r="AE41" s="88"/>
    </row>
    <row r="42" spans="3:31" ht="15" customHeight="1">
      <c r="C42" s="853" t="str">
        <f>IF(Indice_index!$Z$1=1,"Outras despesas correntes","Other current expenditure")</f>
        <v>Other current expenditure</v>
      </c>
      <c r="D42" s="854">
        <v>2.7626589199999998</v>
      </c>
      <c r="E42" s="854">
        <v>1.5406484300000001</v>
      </c>
      <c r="F42" s="854">
        <v>0.8166570700000001</v>
      </c>
      <c r="G42" s="855">
        <f t="shared" si="15"/>
        <v>-46.992639326546417</v>
      </c>
      <c r="H42" s="855">
        <f t="shared" si="18"/>
        <v>-1.9607748467882758E-2</v>
      </c>
      <c r="I42" s="118"/>
      <c r="J42" s="88"/>
      <c r="K42" s="88"/>
      <c r="L42" s="428"/>
      <c r="M42" s="428"/>
      <c r="N42" s="295"/>
      <c r="O42" s="295"/>
      <c r="P42" s="295"/>
      <c r="S42" s="88"/>
      <c r="T42" s="88"/>
      <c r="U42" s="88"/>
      <c r="V42" s="88"/>
      <c r="W42" s="88"/>
      <c r="X42" s="88"/>
      <c r="Y42" s="88"/>
      <c r="Z42" s="88"/>
      <c r="AA42" s="88"/>
      <c r="AB42" s="88"/>
      <c r="AC42" s="88"/>
      <c r="AD42" s="88"/>
      <c r="AE42" s="88"/>
    </row>
    <row r="43" spans="3:31" s="292" customFormat="1" ht="15" customHeight="1">
      <c r="C43" s="851" t="str">
        <f>IF(Indice_index!$Z$1=1,"Despesa de Capital","Capital expenditure")</f>
        <v>Capital expenditure</v>
      </c>
      <c r="D43" s="851">
        <v>0</v>
      </c>
      <c r="E43" s="851">
        <v>0</v>
      </c>
      <c r="F43" s="851">
        <v>0</v>
      </c>
      <c r="G43" s="852" t="str">
        <f t="shared" si="15"/>
        <v>-</v>
      </c>
      <c r="H43" s="852">
        <f t="shared" si="18"/>
        <v>0</v>
      </c>
      <c r="J43" s="295"/>
      <c r="K43" s="295"/>
      <c r="L43" s="428"/>
      <c r="M43" s="428"/>
      <c r="N43" s="295"/>
      <c r="O43" s="295"/>
      <c r="P43" s="295"/>
      <c r="Q43" s="295"/>
      <c r="R43" s="295"/>
      <c r="S43" s="295"/>
      <c r="T43" s="295"/>
      <c r="U43" s="295"/>
      <c r="V43" s="295"/>
      <c r="W43" s="295"/>
      <c r="X43" s="295"/>
      <c r="Y43" s="295"/>
      <c r="Z43" s="295"/>
      <c r="AA43" s="295"/>
      <c r="AB43" s="295"/>
      <c r="AC43" s="295"/>
      <c r="AD43" s="295"/>
      <c r="AE43" s="295"/>
    </row>
    <row r="44" spans="3:31" ht="4.5" customHeight="1">
      <c r="C44" s="862"/>
      <c r="D44" s="862"/>
      <c r="E44" s="862"/>
      <c r="F44" s="862"/>
      <c r="G44" s="864"/>
      <c r="H44" s="864"/>
      <c r="I44" s="118"/>
      <c r="J44" s="88"/>
      <c r="K44" s="88"/>
      <c r="L44" s="428"/>
      <c r="M44" s="428"/>
      <c r="N44" s="295"/>
      <c r="O44" s="295"/>
      <c r="P44" s="295"/>
      <c r="S44" s="88"/>
      <c r="T44" s="88"/>
      <c r="U44" s="88"/>
      <c r="V44" s="88"/>
      <c r="W44" s="88"/>
      <c r="X44" s="88"/>
      <c r="Y44" s="88"/>
      <c r="Z44" s="88"/>
      <c r="AA44" s="88"/>
      <c r="AB44" s="88"/>
      <c r="AC44" s="88"/>
      <c r="AD44" s="88"/>
      <c r="AE44" s="88"/>
    </row>
    <row r="45" spans="3:31" s="292" customFormat="1" ht="15" customHeight="1">
      <c r="C45" s="794" t="str">
        <f>IF(Indice_index!$Z$1=1,"Despesa efectiva","Effective expenditure")</f>
        <v>Effective expenditure</v>
      </c>
      <c r="D45" s="794">
        <f t="shared" ref="D45" si="21">+D29+D43</f>
        <v>10285.655430229999</v>
      </c>
      <c r="E45" s="794">
        <f t="shared" ref="E45:F45" si="22">+E29+E43</f>
        <v>3692.3737632900002</v>
      </c>
      <c r="F45" s="794">
        <f t="shared" si="22"/>
        <v>3748.7332794500003</v>
      </c>
      <c r="G45" s="861">
        <f t="shared" si="12"/>
        <v>1.5263762493475832</v>
      </c>
      <c r="H45" s="861"/>
      <c r="J45" s="295"/>
      <c r="K45" s="295"/>
      <c r="L45" s="428"/>
      <c r="M45" s="428"/>
      <c r="N45" s="295"/>
      <c r="O45" s="295"/>
      <c r="P45" s="295"/>
      <c r="S45" s="295"/>
      <c r="T45" s="295"/>
      <c r="U45" s="295"/>
      <c r="V45" s="295"/>
      <c r="W45" s="295"/>
      <c r="X45" s="295"/>
      <c r="Y45" s="295"/>
      <c r="Z45" s="295"/>
      <c r="AA45" s="295"/>
      <c r="AB45" s="295"/>
      <c r="AC45" s="295"/>
      <c r="AD45" s="295"/>
      <c r="AE45" s="295"/>
    </row>
    <row r="46" spans="3:31" ht="4.5" customHeight="1">
      <c r="C46" s="854"/>
      <c r="D46" s="854"/>
      <c r="E46" s="854"/>
      <c r="F46" s="854"/>
      <c r="G46" s="854"/>
      <c r="H46" s="854"/>
      <c r="I46" s="118"/>
      <c r="J46" s="88"/>
      <c r="K46" s="88"/>
      <c r="L46" s="428"/>
      <c r="M46" s="428"/>
      <c r="N46" s="295"/>
      <c r="O46" s="295"/>
      <c r="P46" s="295"/>
      <c r="S46" s="88"/>
      <c r="T46" s="88"/>
      <c r="U46" s="88"/>
      <c r="V46" s="88"/>
      <c r="W46" s="88"/>
      <c r="X46" s="88"/>
      <c r="Y46" s="88"/>
      <c r="Z46" s="88"/>
      <c r="AA46" s="88"/>
      <c r="AB46" s="88"/>
      <c r="AC46" s="88"/>
      <c r="AD46" s="88"/>
      <c r="AE46" s="88"/>
    </row>
    <row r="47" spans="3:31" s="292" customFormat="1" ht="15" customHeight="1">
      <c r="C47" s="794" t="str">
        <f>IF(Indice_index!$Z$1=1,"Saldo global","Overall balance")</f>
        <v>Overall balance</v>
      </c>
      <c r="D47" s="794">
        <f t="shared" ref="D47" si="23">+D27-D45</f>
        <v>80.717078220000985</v>
      </c>
      <c r="E47" s="794">
        <f t="shared" ref="E47:F47" si="24">+E27-E45</f>
        <v>196.20526245000019</v>
      </c>
      <c r="F47" s="794">
        <f t="shared" si="24"/>
        <v>-78.695042930000909</v>
      </c>
      <c r="G47" s="794"/>
      <c r="H47" s="865"/>
      <c r="J47" s="295"/>
      <c r="K47" s="295"/>
      <c r="L47" s="428"/>
      <c r="M47" s="428"/>
      <c r="N47" s="295"/>
      <c r="O47" s="295"/>
      <c r="P47" s="295"/>
      <c r="S47" s="295"/>
      <c r="T47" s="295"/>
      <c r="U47" s="295"/>
      <c r="V47" s="295"/>
      <c r="W47" s="295"/>
      <c r="X47" s="295"/>
      <c r="Y47" s="295"/>
      <c r="Z47" s="295"/>
      <c r="AA47" s="295"/>
      <c r="AB47" s="295"/>
      <c r="AC47" s="295"/>
      <c r="AD47" s="295"/>
      <c r="AE47" s="295"/>
    </row>
    <row r="48" spans="3:31" ht="4.5" customHeight="1">
      <c r="C48" s="866"/>
      <c r="D48" s="849"/>
      <c r="E48" s="849"/>
      <c r="F48" s="849"/>
      <c r="G48" s="867"/>
      <c r="H48" s="867"/>
      <c r="I48" s="118"/>
      <c r="J48" s="88"/>
      <c r="K48" s="88"/>
      <c r="L48" s="428"/>
      <c r="M48" s="428"/>
      <c r="N48" s="295"/>
      <c r="O48" s="295"/>
      <c r="P48" s="295"/>
      <c r="S48" s="88"/>
      <c r="T48" s="88"/>
      <c r="U48" s="88"/>
      <c r="V48" s="88"/>
      <c r="W48" s="88"/>
      <c r="X48" s="88"/>
      <c r="Y48" s="88"/>
      <c r="Z48" s="88"/>
      <c r="AA48" s="88"/>
      <c r="AB48" s="88"/>
      <c r="AC48" s="88"/>
      <c r="AD48" s="88"/>
      <c r="AE48" s="88"/>
    </row>
    <row r="49" spans="3:31" ht="15" customHeight="1">
      <c r="C49" s="854" t="str">
        <f>IF(Indice_index!$Z$1=1,"Ativos financeiros líquidos de reembolsos","Financial assets net of reimbursements")</f>
        <v>Financial assets net of reimbursements</v>
      </c>
      <c r="D49" s="854">
        <v>217.27286289000006</v>
      </c>
      <c r="E49" s="854">
        <v>-22.298595179999992</v>
      </c>
      <c r="F49" s="854">
        <v>-318.61739165999995</v>
      </c>
      <c r="G49" s="855"/>
      <c r="H49" s="868"/>
      <c r="I49" s="118"/>
      <c r="J49" s="88"/>
      <c r="K49" s="88"/>
      <c r="L49" s="428"/>
      <c r="M49" s="428"/>
      <c r="N49" s="295"/>
      <c r="O49" s="295"/>
      <c r="P49" s="295"/>
      <c r="S49" s="88"/>
      <c r="T49" s="88"/>
      <c r="U49" s="88"/>
      <c r="V49" s="88"/>
      <c r="W49" s="88"/>
      <c r="X49" s="88"/>
      <c r="Y49" s="88"/>
      <c r="Z49" s="88"/>
      <c r="AA49" s="88"/>
      <c r="AB49" s="88"/>
      <c r="AC49" s="88"/>
      <c r="AD49" s="88"/>
      <c r="AE49" s="88"/>
    </row>
    <row r="50" spans="3:31" ht="15" customHeight="1">
      <c r="C50" s="854" t="str">
        <f>IF(Indice_index!$Z$1=1,"Passivos financeiros líquidos de amortizações","Financial liabilities net of amortizations")</f>
        <v>Financial liabilities net of amortizations</v>
      </c>
      <c r="D50" s="854">
        <v>0</v>
      </c>
      <c r="E50" s="854">
        <v>0</v>
      </c>
      <c r="F50" s="854">
        <v>0</v>
      </c>
      <c r="G50" s="855"/>
      <c r="H50" s="868"/>
      <c r="I50" s="118"/>
      <c r="J50" s="88"/>
      <c r="K50" s="88"/>
      <c r="L50" s="428"/>
      <c r="M50" s="428"/>
      <c r="N50" s="295"/>
      <c r="O50" s="295"/>
      <c r="P50" s="295"/>
      <c r="S50" s="88"/>
      <c r="T50" s="88"/>
      <c r="U50" s="88"/>
      <c r="V50" s="88"/>
      <c r="W50" s="88"/>
      <c r="X50" s="88"/>
      <c r="Y50" s="88"/>
      <c r="Z50" s="88"/>
      <c r="AA50" s="88"/>
      <c r="AB50" s="88"/>
      <c r="AC50" s="88"/>
      <c r="AD50" s="88"/>
      <c r="AE50" s="88"/>
    </row>
    <row r="51" spans="3:31" ht="15" customHeight="1">
      <c r="C51" s="850" t="str">
        <f>IF(Indice_index!$Z$1=1,"Poupança (+) / Utilização (-) de saldo da gerência anterior","Saving (+) / Usage (-) of balance from previous management")</f>
        <v>Saving (+) / Usage (-) of balance from previous management</v>
      </c>
      <c r="D51" s="850">
        <f t="shared" ref="D51" si="25">D47-D49+D50</f>
        <v>-136.55578466999907</v>
      </c>
      <c r="E51" s="850">
        <f t="shared" ref="E51:F51" si="26">E47-E49+E50</f>
        <v>218.5038576300002</v>
      </c>
      <c r="F51" s="850">
        <f t="shared" si="26"/>
        <v>239.92234872999904</v>
      </c>
      <c r="G51" s="869"/>
      <c r="H51" s="850"/>
      <c r="I51" s="118"/>
      <c r="J51" s="88"/>
      <c r="K51" s="88"/>
      <c r="L51" s="428"/>
      <c r="M51" s="428"/>
      <c r="N51" s="295"/>
      <c r="O51" s="295"/>
      <c r="P51" s="295"/>
      <c r="S51" s="88"/>
      <c r="T51" s="88"/>
      <c r="U51" s="88"/>
      <c r="V51" s="88"/>
      <c r="W51" s="88"/>
      <c r="X51" s="88"/>
      <c r="Y51" s="88"/>
      <c r="Z51" s="88"/>
      <c r="AA51" s="88"/>
      <c r="AB51" s="88"/>
      <c r="AC51" s="88"/>
      <c r="AD51" s="88"/>
      <c r="AE51" s="88"/>
    </row>
    <row r="52" spans="3:31" ht="4.5" customHeight="1">
      <c r="C52" s="854"/>
      <c r="D52" s="854"/>
      <c r="E52" s="854"/>
      <c r="F52" s="854"/>
      <c r="G52" s="868"/>
      <c r="H52" s="868"/>
      <c r="I52" s="110"/>
      <c r="J52" s="88"/>
      <c r="K52" s="88"/>
      <c r="L52" s="88"/>
      <c r="M52" s="88"/>
      <c r="S52" s="88"/>
      <c r="T52" s="88"/>
      <c r="U52" s="88"/>
      <c r="V52" s="88"/>
      <c r="W52" s="88"/>
      <c r="X52" s="88"/>
      <c r="Y52" s="88"/>
      <c r="Z52" s="88"/>
      <c r="AA52" s="88"/>
      <c r="AB52" s="88"/>
      <c r="AC52" s="88"/>
      <c r="AD52" s="88"/>
      <c r="AE52" s="88"/>
    </row>
    <row r="53" spans="3:31" ht="15" customHeight="1">
      <c r="C53" s="833" t="str">
        <f>IF(Indice_index!$Z$1=1,"Notas:","Notes:")</f>
        <v>Notes:</v>
      </c>
      <c r="D53" s="833"/>
      <c r="E53" s="854"/>
      <c r="F53" s="854"/>
      <c r="G53" s="868"/>
      <c r="H53" s="868"/>
      <c r="I53" s="110"/>
      <c r="J53" s="88"/>
      <c r="K53" s="88"/>
      <c r="L53" s="88"/>
      <c r="M53" s="88"/>
      <c r="S53" s="88"/>
      <c r="T53" s="88"/>
      <c r="U53" s="88"/>
      <c r="V53" s="88"/>
      <c r="W53" s="88"/>
      <c r="X53" s="88"/>
      <c r="Y53" s="88"/>
      <c r="Z53" s="88"/>
      <c r="AA53" s="88"/>
      <c r="AB53" s="88"/>
      <c r="AC53" s="88"/>
      <c r="AD53" s="88"/>
      <c r="AE53" s="88"/>
    </row>
    <row r="54" spans="3:31" s="22" customFormat="1" ht="15" customHeight="1">
      <c r="C54" s="1674" t="str">
        <f>+'5 - Conta AC + SS'!$C$64</f>
        <v>2021 cumulative execution is monthly reviewed and updated and therefore may differ from data published in 2021.</v>
      </c>
      <c r="D54" s="1674"/>
      <c r="E54" s="1674"/>
      <c r="F54" s="1674"/>
      <c r="G54" s="1674"/>
      <c r="H54" s="1674"/>
      <c r="I54" s="63"/>
      <c r="P54" s="24"/>
      <c r="Q54" s="24"/>
    </row>
    <row r="55" spans="3:31" ht="4.5" customHeight="1">
      <c r="C55" s="854"/>
      <c r="D55" s="854"/>
      <c r="E55" s="854"/>
      <c r="F55" s="854"/>
      <c r="G55" s="868"/>
      <c r="H55" s="868"/>
      <c r="I55" s="110"/>
      <c r="J55" s="88"/>
      <c r="K55" s="88"/>
      <c r="L55" s="88"/>
      <c r="M55" s="88"/>
      <c r="S55" s="88"/>
      <c r="T55" s="88"/>
      <c r="U55" s="88"/>
      <c r="V55" s="88"/>
      <c r="W55" s="88"/>
      <c r="X55" s="88"/>
      <c r="Y55" s="88"/>
      <c r="Z55" s="88"/>
      <c r="AA55" s="88"/>
      <c r="AB55" s="88"/>
      <c r="AC55" s="88"/>
      <c r="AD55" s="88"/>
      <c r="AE55" s="88"/>
    </row>
    <row r="56" spans="3:31" ht="15" customHeight="1">
      <c r="C56" s="684" t="str">
        <f>IF(Indice_index!$Z$1=1,"Fonte: Direção-Geral do Orçamento","Source: Budget General Directorate")</f>
        <v>Source: Budget General Directorate</v>
      </c>
      <c r="D56" s="684"/>
      <c r="F56" s="870"/>
    </row>
    <row r="59" spans="3:31">
      <c r="E59" s="88"/>
      <c r="F59" s="122"/>
    </row>
    <row r="60" spans="3:31">
      <c r="E60" s="88"/>
      <c r="F60" s="122"/>
    </row>
    <row r="61" spans="3:31">
      <c r="E61" s="88"/>
      <c r="F61" s="122"/>
    </row>
    <row r="97" spans="3:9" ht="12" customHeight="1">
      <c r="C97" s="117"/>
      <c r="D97" s="458"/>
      <c r="E97" s="117"/>
      <c r="F97" s="117"/>
      <c r="G97" s="117"/>
      <c r="H97" s="380"/>
      <c r="I97" s="117"/>
    </row>
  </sheetData>
  <mergeCells count="3">
    <mergeCell ref="E6:F6"/>
    <mergeCell ref="G6:H6"/>
    <mergeCell ref="C54:H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H5 H6 F6 G7 D6:E6 H7 G6" unlockedFormula="1"/>
    <ignoredError sqref="D7 E7:F7" numberStoredAsText="1" unlockedFormula="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Q112"/>
  <sheetViews>
    <sheetView showGridLines="0" zoomScaleNormal="100" zoomScaleSheetLayoutView="100" workbookViewId="0">
      <selection activeCell="B2" sqref="B2"/>
    </sheetView>
  </sheetViews>
  <sheetFormatPr defaultColWidth="9.140625" defaultRowHeight="11.25"/>
  <cols>
    <col min="1" max="1" width="2.140625" style="124" customWidth="1"/>
    <col min="2" max="2" width="4.42578125" style="124" customWidth="1"/>
    <col min="3" max="3" width="63.42578125" style="124" customWidth="1"/>
    <col min="4" max="4" width="9.42578125" style="124" customWidth="1"/>
    <col min="5" max="6" width="9.42578125" style="125" customWidth="1"/>
    <col min="7" max="8" width="9.42578125" style="124" customWidth="1"/>
    <col min="9" max="9" width="8.5703125" style="124" customWidth="1"/>
    <col min="10" max="10" width="14.42578125" style="124" bestFit="1" customWidth="1"/>
    <col min="11" max="11" width="11.5703125" style="124" customWidth="1"/>
    <col min="12" max="14" width="8.5703125" style="124" customWidth="1"/>
    <col min="15" max="16384" width="9.140625" style="124"/>
  </cols>
  <sheetData>
    <row r="1" spans="2:14" s="50" customFormat="1" ht="15" customHeight="1">
      <c r="B1" s="49"/>
      <c r="C1" s="49"/>
      <c r="D1" s="49"/>
      <c r="E1" s="123"/>
    </row>
    <row r="2" spans="2:14" ht="24" customHeight="1">
      <c r="B2" s="8"/>
      <c r="C2" s="51" t="str">
        <f>IF(Indice_index!$Z$1=1,"12 - Execução Orçamental da Segurança Social","12 - Social Security Budget Execution")</f>
        <v>12 - Social Security Budget Execution</v>
      </c>
      <c r="D2" s="51"/>
      <c r="E2" s="51"/>
      <c r="F2" s="51"/>
      <c r="G2" s="51"/>
      <c r="H2" s="51"/>
    </row>
    <row r="3" spans="2:14" ht="15" customHeight="1">
      <c r="G3" s="126"/>
      <c r="H3" s="126"/>
    </row>
    <row r="4" spans="2:14" ht="15" customHeight="1">
      <c r="G4" s="126"/>
      <c r="H4" s="126"/>
      <c r="I4" s="127"/>
    </row>
    <row r="5" spans="2:14" s="296" customFormat="1" ht="15" customHeight="1">
      <c r="C5" s="952" t="str">
        <f>+'5 - Conta AC + SS'!C5</f>
        <v>Period: January to May</v>
      </c>
      <c r="D5" s="952"/>
      <c r="E5" s="953"/>
      <c r="F5" s="953"/>
      <c r="G5" s="954"/>
      <c r="H5" s="955" t="str">
        <f>IF(Indice_index!$Z$1=1,"€ Milhões","€ Millions")</f>
        <v>€ Millions</v>
      </c>
    </row>
    <row r="6" spans="2:14" s="128" customFormat="1" ht="26.25" customHeight="1">
      <c r="C6" s="956"/>
      <c r="D6" s="957" t="str">
        <f>IF(Indice_index!$Z$1=1,"CGE","Final execution")</f>
        <v>Final execution</v>
      </c>
      <c r="E6" s="1699" t="str">
        <f>IF(Indice_index!$Z$1=1,"Execução Acumulada","Accumulated Execution")</f>
        <v>Accumulated Execution</v>
      </c>
      <c r="F6" s="1699"/>
      <c r="G6" s="1700" t="str">
        <f>IF(Indice_index!$Z$1=1,"Variação Homóloga Acumulada","YOY Change Rate")</f>
        <v>YOY Change Rate</v>
      </c>
      <c r="H6" s="1701"/>
      <c r="J6" s="604"/>
    </row>
    <row r="7" spans="2:14" ht="33" customHeight="1">
      <c r="C7" s="958"/>
      <c r="D7" s="959" t="s">
        <v>68</v>
      </c>
      <c r="E7" s="960" t="s">
        <v>68</v>
      </c>
      <c r="F7" s="960" t="s">
        <v>75</v>
      </c>
      <c r="G7" s="961" t="str">
        <f>IF(Indice_index!$Z$1=1,"Relativa (%)","Relative change (%)")</f>
        <v>Relative change (%)</v>
      </c>
      <c r="H7" s="962" t="str">
        <f>IF(Indice_index!$Z$1=1,"Contributo VHA (p.p.)","YOY Change Rate Contrib. (p.p.)")</f>
        <v>YOY Change Rate Contrib. (p.p.)</v>
      </c>
    </row>
    <row r="8" spans="2:14" ht="4.5" customHeight="1">
      <c r="C8" s="963"/>
      <c r="D8" s="963"/>
      <c r="E8" s="964"/>
      <c r="F8" s="964"/>
      <c r="G8" s="963"/>
      <c r="H8" s="964"/>
      <c r="J8" s="97"/>
    </row>
    <row r="9" spans="2:14" s="297" customFormat="1" ht="15" customHeight="1">
      <c r="C9" s="965" t="str">
        <f>IF(Indice_index!$Z$1=1,"Receita corrente","Current revenue")</f>
        <v>Current revenue</v>
      </c>
      <c r="D9" s="966">
        <f t="shared" ref="D9" si="0">+SUM(D10:D12)+SUM(D23:D27)</f>
        <v>33565.62642660999</v>
      </c>
      <c r="E9" s="966">
        <f t="shared" ref="E9:F9" si="1">+SUM(E10:E12)+SUM(E23:E27)</f>
        <v>12699.590847670001</v>
      </c>
      <c r="F9" s="966">
        <f t="shared" si="1"/>
        <v>13572.299189610001</v>
      </c>
      <c r="G9" s="967">
        <f>IF(IFERROR((F9-E9)/E9*100,"")&gt;500,"-",IFERROR((F9-E9)/E9*100,""))</f>
        <v>6.8719406192532322</v>
      </c>
      <c r="H9" s="967">
        <f>IFERROR((F9-E9)/$E$32*100,"-")</f>
        <v>6.8718619378599755</v>
      </c>
      <c r="I9" s="298"/>
      <c r="J9" s="298"/>
      <c r="K9" s="720"/>
      <c r="M9" s="469"/>
      <c r="N9" s="469"/>
    </row>
    <row r="10" spans="2:14" s="128" customFormat="1" ht="15" customHeight="1">
      <c r="C10" s="968" t="str">
        <f>IF(Indice_index!$Z$1=1,"Impostos Indiretos","Indirect taxes")</f>
        <v>Indirect taxes</v>
      </c>
      <c r="D10" s="969">
        <v>212.25092951000005</v>
      </c>
      <c r="E10" s="969">
        <v>90.582493360000001</v>
      </c>
      <c r="F10" s="969">
        <v>100.00442937</v>
      </c>
      <c r="G10" s="970">
        <f>IF(IFERROR((F10-E10)/E10*100,"")&gt;500,"-",IFERROR((F10-E10)/E10*100,""))</f>
        <v>10.401497751397287</v>
      </c>
      <c r="H10" s="970">
        <f>IFERROR((F10-E10)/$E$32*100,"-")</f>
        <v>7.4190013245596584E-2</v>
      </c>
      <c r="I10" s="218"/>
      <c r="J10" s="218"/>
      <c r="K10" s="218"/>
      <c r="M10" s="469"/>
      <c r="N10" s="469"/>
    </row>
    <row r="11" spans="2:14" ht="15" customHeight="1">
      <c r="C11" s="971" t="str">
        <f>IF(Indice_index!$Z$1=1,"Contribuições e quotizações","Contributions and membership fees")</f>
        <v>Contributions and membership fees</v>
      </c>
      <c r="D11" s="969">
        <v>19953.700139089997</v>
      </c>
      <c r="E11" s="969">
        <v>7491.3349819800005</v>
      </c>
      <c r="F11" s="969">
        <v>8481.8651757200005</v>
      </c>
      <c r="G11" s="970">
        <f>IF(IFERROR((F11-E11)/E11*100,"")&gt;500,"-",IFERROR((F11-E11)/E11*100,""))</f>
        <v>13.2223454981344</v>
      </c>
      <c r="H11" s="970">
        <f>IFERROR((F11-E11)/$E$32*100,"-")</f>
        <v>7.7996123212615593</v>
      </c>
      <c r="I11" s="218"/>
      <c r="J11" s="218"/>
      <c r="K11" s="690"/>
      <c r="M11" s="469"/>
      <c r="N11" s="469"/>
    </row>
    <row r="12" spans="2:14" ht="15" customHeight="1">
      <c r="C12" s="971" t="str">
        <f>IF(Indice_index!$Z$1=1,"Transferências correntes da Administração Central","Central Government current transfers")</f>
        <v>Central Government current transfers</v>
      </c>
      <c r="D12" s="969">
        <v>10871.419801169997</v>
      </c>
      <c r="E12" s="969">
        <v>3944.1292752200011</v>
      </c>
      <c r="F12" s="969">
        <v>4075.2134009600004</v>
      </c>
      <c r="G12" s="970">
        <f t="shared" ref="G12:G30" si="2">IF(IFERROR((F12-E12)/E12*100,"")&gt;500,"-",IFERROR((F12-E12)/E12*100,""))</f>
        <v>3.3235250822930369</v>
      </c>
      <c r="H12" s="970">
        <f>IFERROR((F12-E12)/$E$32*100,"-")</f>
        <v>1.0321799059785803</v>
      </c>
      <c r="I12" s="218"/>
      <c r="J12" s="218"/>
      <c r="K12" s="218"/>
      <c r="M12" s="469"/>
      <c r="N12" s="469"/>
    </row>
    <row r="13" spans="2:14" ht="15" customHeight="1">
      <c r="C13" s="972" t="str">
        <f>IF(Indice_index!$Z$1=1,"dos quais:","of which:")</f>
        <v>of which:</v>
      </c>
      <c r="D13" s="969"/>
      <c r="E13" s="969"/>
      <c r="F13" s="969"/>
      <c r="G13" s="970"/>
      <c r="H13" s="970"/>
      <c r="I13" s="218"/>
      <c r="J13" s="218"/>
      <c r="K13" s="218"/>
      <c r="M13" s="469"/>
      <c r="N13" s="469"/>
    </row>
    <row r="14" spans="2:14" ht="15" customHeight="1">
      <c r="C14" s="973" t="str">
        <f>IF(Indice_index!$Z$1=1,"Transferências do OE","State Budget transfers")</f>
        <v>State Budget transfers</v>
      </c>
      <c r="D14" s="969">
        <v>10519.71307442</v>
      </c>
      <c r="E14" s="969">
        <f t="shared" ref="E14:F14" si="3">SUM(E15:E22)</f>
        <v>3808.2406785200001</v>
      </c>
      <c r="F14" s="969">
        <f t="shared" si="3"/>
        <v>3953.1323276399999</v>
      </c>
      <c r="G14" s="970">
        <f t="shared" si="2"/>
        <v>3.8046872913586216</v>
      </c>
      <c r="H14" s="970">
        <f t="shared" ref="H14:H30" si="4">IFERROR((F14-E14)/$E$32*100,"-")</f>
        <v>1.1409028203948841</v>
      </c>
      <c r="I14" s="218"/>
      <c r="J14" s="218"/>
      <c r="K14" s="218"/>
      <c r="M14" s="469"/>
      <c r="N14" s="469"/>
    </row>
    <row r="15" spans="2:14" ht="15" customHeight="1">
      <c r="C15" s="974" t="str">
        <f>IF(Indice_index!$Z$1=1,"Financiamento da Lei de Bases da Segurança Social","Social Security Framework Law financing")</f>
        <v>Social Security Framework Law financing</v>
      </c>
      <c r="D15" s="969">
        <v>7034.2355838800004</v>
      </c>
      <c r="E15" s="969">
        <v>2974.1308116800001</v>
      </c>
      <c r="F15" s="969">
        <v>3035.4770067300001</v>
      </c>
      <c r="G15" s="970">
        <f t="shared" si="2"/>
        <v>2.0626596116445639</v>
      </c>
      <c r="H15" s="970">
        <f t="shared" si="4"/>
        <v>0.48305093756696543</v>
      </c>
      <c r="I15" s="218"/>
      <c r="J15" s="690"/>
      <c r="K15" s="218"/>
      <c r="M15" s="469"/>
      <c r="N15" s="469"/>
    </row>
    <row r="16" spans="2:14" ht="15" customHeight="1">
      <c r="C16" s="975" t="str">
        <f>IF(Indice_index!$Z$1=1,"Medidas excecionais e temporárias (COVID-19)","Exceptional and temporary measures (COVID-19)")</f>
        <v>Exceptional and temporary measures (COVID-19)</v>
      </c>
      <c r="D16" s="969">
        <v>1545.4616489699999</v>
      </c>
      <c r="E16" s="969">
        <v>269.58333332000001</v>
      </c>
      <c r="F16" s="969">
        <v>356.23419235</v>
      </c>
      <c r="G16" s="970">
        <f t="shared" si="2"/>
        <v>32.142513397571186</v>
      </c>
      <c r="H16" s="970">
        <f t="shared" si="4"/>
        <v>0.68230439819958233</v>
      </c>
      <c r="I16" s="218"/>
      <c r="J16" s="218"/>
      <c r="K16" s="218"/>
      <c r="M16" s="469"/>
      <c r="N16" s="469"/>
    </row>
    <row r="17" spans="2:14" ht="15" customHeight="1">
      <c r="C17" s="974" t="str">
        <f>IF(Indice_index!$Z$1=1,"Restantes transferências","Other transfers")</f>
        <v>Other transfers</v>
      </c>
      <c r="D17" s="969">
        <v>103.67836415000001</v>
      </c>
      <c r="E17" s="969">
        <v>0</v>
      </c>
      <c r="F17" s="969">
        <v>0.25477249000000002</v>
      </c>
      <c r="G17" s="970" t="str">
        <f t="shared" si="2"/>
        <v>-</v>
      </c>
      <c r="H17" s="970">
        <f t="shared" si="4"/>
        <v>2.0061242602000678E-3</v>
      </c>
      <c r="I17" s="218"/>
      <c r="J17" s="218"/>
      <c r="K17" s="218"/>
      <c r="M17" s="469"/>
      <c r="N17" s="469"/>
    </row>
    <row r="18" spans="2:14" ht="15" customHeight="1">
      <c r="C18" s="974" t="str">
        <f>IF(Indice_index!$Z$1=1,"IVA Social","Social tax")</f>
        <v>Social tax</v>
      </c>
      <c r="D18" s="969">
        <v>915.22045500000002</v>
      </c>
      <c r="E18" s="969">
        <v>381.34185624999998</v>
      </c>
      <c r="F18" s="969">
        <v>381.34185624999998</v>
      </c>
      <c r="G18" s="970">
        <f t="shared" si="2"/>
        <v>0</v>
      </c>
      <c r="H18" s="970">
        <f t="shared" si="4"/>
        <v>0</v>
      </c>
      <c r="I18" s="218"/>
      <c r="J18" s="218"/>
      <c r="K18" s="218"/>
      <c r="M18" s="469"/>
      <c r="N18" s="469"/>
    </row>
    <row r="19" spans="2:14" ht="15" customHeight="1">
      <c r="C19" s="974" t="str">
        <f>IF(Indice_index!$Z$1=1,"Adicional ao IMI","Additional to the real estate municipal tax")</f>
        <v>Additional to the real estate municipal tax</v>
      </c>
      <c r="D19" s="969">
        <v>128.194097</v>
      </c>
      <c r="E19" s="969">
        <v>0.84300299999999995</v>
      </c>
      <c r="F19" s="969">
        <v>2.9014030000000002</v>
      </c>
      <c r="G19" s="970">
        <f t="shared" si="2"/>
        <v>244.17469451472894</v>
      </c>
      <c r="H19" s="970">
        <f t="shared" si="4"/>
        <v>1.6208210616443793E-2</v>
      </c>
      <c r="I19" s="218"/>
      <c r="J19" s="218"/>
      <c r="K19" s="218"/>
      <c r="M19" s="469"/>
      <c r="N19" s="469"/>
    </row>
    <row r="20" spans="2:14" ht="15" customHeight="1">
      <c r="C20" s="974" t="str">
        <f>IF(Indice_index!$Z$1=1,"Consignação do IRC","Assignment of Corporate Income Tax")</f>
        <v>Assignment of Corporate Income Tax</v>
      </c>
      <c r="D20" s="969">
        <v>337.30786999999998</v>
      </c>
      <c r="E20" s="969">
        <v>0</v>
      </c>
      <c r="F20" s="969">
        <v>0</v>
      </c>
      <c r="G20" s="970" t="str">
        <f t="shared" si="2"/>
        <v>-</v>
      </c>
      <c r="H20" s="970">
        <f t="shared" si="4"/>
        <v>0</v>
      </c>
      <c r="I20" s="218"/>
      <c r="J20" s="218"/>
      <c r="K20" s="218"/>
      <c r="M20" s="469"/>
      <c r="N20" s="469"/>
    </row>
    <row r="21" spans="2:14" ht="15" customHeight="1">
      <c r="C21" s="974" t="str">
        <f>IF(Indice_index!$Z$1=1,"Adicional à Contribuição do Setor Bancário","Additional contribution on the Banking sector")</f>
        <v>Additional contribution on the Banking sector</v>
      </c>
      <c r="D21" s="969">
        <v>33.939816999999998</v>
      </c>
      <c r="E21" s="969">
        <v>0</v>
      </c>
      <c r="F21" s="969">
        <v>0</v>
      </c>
      <c r="G21" s="970" t="str">
        <f t="shared" si="2"/>
        <v>-</v>
      </c>
      <c r="H21" s="970">
        <f t="shared" si="4"/>
        <v>0</v>
      </c>
      <c r="I21" s="218"/>
      <c r="J21" s="218"/>
      <c r="K21" s="218"/>
      <c r="M21" s="469"/>
      <c r="N21" s="469"/>
    </row>
    <row r="22" spans="2:14" ht="15" customHeight="1">
      <c r="C22" s="974" t="str">
        <f>IF(Indice_index!$Z$1=1,"Pensões Bancários","Old age pension scheme from Banking regime")</f>
        <v>Old age pension scheme from Banking regime</v>
      </c>
      <c r="D22" s="969">
        <v>421.67523842000003</v>
      </c>
      <c r="E22" s="969">
        <v>182.34167426999997</v>
      </c>
      <c r="F22" s="969">
        <v>176.92309681999998</v>
      </c>
      <c r="G22" s="970">
        <f t="shared" si="2"/>
        <v>-2.971661564309485</v>
      </c>
      <c r="H22" s="970">
        <f t="shared" si="4"/>
        <v>-4.2666850248305827E-2</v>
      </c>
      <c r="I22" s="218"/>
      <c r="J22" s="218"/>
      <c r="K22" s="218"/>
      <c r="M22" s="469"/>
      <c r="N22" s="469"/>
    </row>
    <row r="23" spans="2:14" ht="15" customHeight="1">
      <c r="C23" s="976" t="str">
        <f>IF(Indice_index!$Z$1=1,"Transferências do Fundo Social Europeu","European Social Fund")</f>
        <v>European Social Fund</v>
      </c>
      <c r="D23" s="969">
        <v>1322.4853037599999</v>
      </c>
      <c r="E23" s="969">
        <v>644.72432448999996</v>
      </c>
      <c r="F23" s="969">
        <v>483.65782759000001</v>
      </c>
      <c r="G23" s="970">
        <f t="shared" si="2"/>
        <v>-24.982227408188656</v>
      </c>
      <c r="H23" s="970">
        <f t="shared" si="4"/>
        <v>-1.2682664715351681</v>
      </c>
      <c r="I23" s="218"/>
      <c r="J23" s="218"/>
      <c r="K23" s="218"/>
      <c r="M23" s="469"/>
      <c r="N23" s="469"/>
    </row>
    <row r="24" spans="2:14" ht="15" customHeight="1">
      <c r="C24" s="976" t="str">
        <f>IF(Indice_index!$Z$1=1,"Transferências do Fundo Europeu de Auxílio às Pessoas Mais Carenciadas - FEAC","Fund for European Aid to the Most Deprived")</f>
        <v>Fund for European Aid to the Most Deprived</v>
      </c>
      <c r="D24" s="969">
        <v>27</v>
      </c>
      <c r="E24" s="969">
        <v>10.5</v>
      </c>
      <c r="F24" s="969">
        <v>13.5</v>
      </c>
      <c r="G24" s="970">
        <f t="shared" si="2"/>
        <v>28.571428571428569</v>
      </c>
      <c r="H24" s="970">
        <f t="shared" si="4"/>
        <v>2.362253782031256E-2</v>
      </c>
      <c r="I24" s="218"/>
      <c r="J24" s="218"/>
      <c r="K24" s="218"/>
      <c r="M24" s="469"/>
      <c r="N24" s="469"/>
    </row>
    <row r="25" spans="2:14" ht="15" customHeight="1">
      <c r="C25" s="976" t="str">
        <f>IF(Indice_index!$Z$1=1,"Transferências da União Europeia - Plano de Recuperação e Resiliência","Recovery and Resilience Plan")</f>
        <v>Recovery and Resilience Plan</v>
      </c>
      <c r="D25" s="969">
        <v>77.730710099999996</v>
      </c>
      <c r="E25" s="969">
        <v>0</v>
      </c>
      <c r="F25" s="969">
        <v>7.4289899999999992E-2</v>
      </c>
      <c r="G25" s="970" t="str">
        <f t="shared" ref="G25" si="5">IF(IFERROR((F25-E25)/E25*100,"")&gt;500,"-",IFERROR((F25-E25)/E25*100,""))</f>
        <v>-</v>
      </c>
      <c r="H25" s="970">
        <f t="shared" si="4"/>
        <v>5.8497199080574593E-4</v>
      </c>
      <c r="I25" s="218"/>
      <c r="J25" s="218"/>
      <c r="K25" s="218"/>
      <c r="M25" s="469"/>
      <c r="N25" s="469"/>
    </row>
    <row r="26" spans="2:14" ht="15" customHeight="1">
      <c r="C26" s="976" t="str">
        <f>IF(Indice_index!$Z$1=1,"Outras transferências","Other transfers")</f>
        <v>Other transfers</v>
      </c>
      <c r="D26" s="969">
        <v>2.4134979799999998</v>
      </c>
      <c r="E26" s="969">
        <v>1.0921483399999998</v>
      </c>
      <c r="F26" s="969">
        <v>0.84805410000000014</v>
      </c>
      <c r="G26" s="970">
        <f t="shared" si="2"/>
        <v>-22.349916312650326</v>
      </c>
      <c r="H26" s="970">
        <f t="shared" si="4"/>
        <v>-1.922041805373481E-3</v>
      </c>
      <c r="I26" s="218"/>
      <c r="J26" s="218"/>
      <c r="K26" s="218"/>
      <c r="M26" s="469"/>
      <c r="N26" s="469"/>
    </row>
    <row r="27" spans="2:14" ht="15" customHeight="1">
      <c r="B27" s="129"/>
      <c r="C27" s="971" t="str">
        <f>IF(Indice_index!$Z$1=1,"Restantes receitas correntes","Other current revenue")</f>
        <v>Other current revenue</v>
      </c>
      <c r="D27" s="969">
        <v>1098.626045</v>
      </c>
      <c r="E27" s="969">
        <v>517.2276242800001</v>
      </c>
      <c r="F27" s="969">
        <v>417.13601196999997</v>
      </c>
      <c r="G27" s="970">
        <f t="shared" si="2"/>
        <v>-19.351559663761449</v>
      </c>
      <c r="H27" s="970">
        <f t="shared" si="4"/>
        <v>-0.78813929909634683</v>
      </c>
      <c r="I27" s="218"/>
      <c r="J27" s="218"/>
      <c r="K27" s="218"/>
      <c r="M27" s="469"/>
      <c r="N27" s="469"/>
    </row>
    <row r="28" spans="2:14" s="297" customFormat="1" ht="15" customHeight="1">
      <c r="C28" s="965" t="str">
        <f>IF(Indice_index!$Z$1=1,"Receita de capital","Capital revenue")</f>
        <v>Capital revenue</v>
      </c>
      <c r="D28" s="966">
        <f t="shared" ref="D28" si="6">+D29+D30</f>
        <v>0.91545309000000008</v>
      </c>
      <c r="E28" s="966">
        <f t="shared" ref="E28:F28" si="7">+E29+E30</f>
        <v>0.14540767999999998</v>
      </c>
      <c r="F28" s="966">
        <f t="shared" si="7"/>
        <v>0.59967700999999995</v>
      </c>
      <c r="G28" s="967">
        <f t="shared" si="2"/>
        <v>312.41082314221643</v>
      </c>
      <c r="H28" s="967">
        <f t="shared" si="4"/>
        <v>3.5769981428443488E-3</v>
      </c>
      <c r="I28" s="298"/>
      <c r="J28" s="298"/>
      <c r="K28" s="298"/>
      <c r="M28" s="469"/>
      <c r="N28" s="469"/>
    </row>
    <row r="29" spans="2:14" ht="15" customHeight="1">
      <c r="C29" s="971" t="str">
        <f>IF(Indice_index!$Z$1=1,"Transferências do Orçamento do Estado","State Budget transfers")</f>
        <v>State Budget transfers</v>
      </c>
      <c r="D29" s="969">
        <v>0.29749999999999999</v>
      </c>
      <c r="E29" s="969">
        <v>0</v>
      </c>
      <c r="F29" s="969">
        <v>0</v>
      </c>
      <c r="G29" s="970" t="str">
        <f t="shared" si="2"/>
        <v>-</v>
      </c>
      <c r="H29" s="970">
        <f t="shared" si="4"/>
        <v>0</v>
      </c>
      <c r="I29" s="218"/>
      <c r="J29" s="218"/>
      <c r="K29" s="218"/>
      <c r="M29" s="469"/>
      <c r="N29" s="469"/>
    </row>
    <row r="30" spans="2:14" ht="15" customHeight="1">
      <c r="C30" s="971" t="str">
        <f>IF(Indice_index!$Z$1=1,"Restantes receitas de capital","Other capital revenue")</f>
        <v>Other capital revenue</v>
      </c>
      <c r="D30" s="969">
        <v>0.61795309000000009</v>
      </c>
      <c r="E30" s="969">
        <v>0.14540767999999998</v>
      </c>
      <c r="F30" s="969">
        <v>0.59967700999999995</v>
      </c>
      <c r="G30" s="970">
        <f t="shared" si="2"/>
        <v>312.41082314221643</v>
      </c>
      <c r="H30" s="970">
        <f t="shared" si="4"/>
        <v>3.5769981428443488E-3</v>
      </c>
      <c r="I30" s="218"/>
      <c r="J30" s="218"/>
      <c r="K30" s="218"/>
      <c r="M30" s="469"/>
      <c r="N30" s="469"/>
    </row>
    <row r="31" spans="2:14" ht="4.5" customHeight="1">
      <c r="C31" s="963"/>
      <c r="D31" s="969"/>
      <c r="E31" s="969"/>
      <c r="F31" s="969"/>
      <c r="G31" s="970"/>
      <c r="H31" s="963"/>
      <c r="I31" s="218"/>
      <c r="J31" s="218"/>
      <c r="K31" s="218"/>
      <c r="M31" s="469"/>
      <c r="N31" s="469"/>
    </row>
    <row r="32" spans="2:14" s="297" customFormat="1" ht="15" customHeight="1">
      <c r="C32" s="977" t="str">
        <f>IF(Indice_index!$Z$1=1,"Receita Efetiva","Effective revenue")</f>
        <v>Effective revenue</v>
      </c>
      <c r="D32" s="978">
        <f t="shared" ref="D32" si="8">+D9+D28</f>
        <v>33566.541879699987</v>
      </c>
      <c r="E32" s="978">
        <f t="shared" ref="E32:F32" si="9">+E9+E28</f>
        <v>12699.736255350001</v>
      </c>
      <c r="F32" s="978">
        <f t="shared" si="9"/>
        <v>13572.89886662</v>
      </c>
      <c r="G32" s="979">
        <f t="shared" ref="G32" si="10">IF(IFERROR((F32-E32)/E32*100,"")&gt;500,"-",IFERROR((F32-E32)/E32*100,""))</f>
        <v>6.875438936002813</v>
      </c>
      <c r="H32" s="979"/>
      <c r="I32" s="298"/>
      <c r="J32" s="298"/>
      <c r="K32" s="298"/>
      <c r="M32" s="469"/>
      <c r="N32" s="469"/>
    </row>
    <row r="33" spans="3:14" ht="4.5" customHeight="1">
      <c r="C33" s="963"/>
      <c r="D33" s="969"/>
      <c r="E33" s="969"/>
      <c r="F33" s="969"/>
      <c r="G33" s="970"/>
      <c r="H33" s="970"/>
      <c r="I33" s="218"/>
      <c r="J33" s="218"/>
      <c r="K33" s="218"/>
      <c r="M33" s="469"/>
      <c r="N33" s="469"/>
    </row>
    <row r="34" spans="3:14" s="297" customFormat="1" ht="15" customHeight="1">
      <c r="C34" s="965" t="str">
        <f>IF(Indice_index!$Z$1=1,"Despesa Corrente","Current expenditure")</f>
        <v>Current expenditure</v>
      </c>
      <c r="D34" s="966">
        <f>+D35+D54+D55+D56+D57+D60+D61</f>
        <v>31196.79567548</v>
      </c>
      <c r="E34" s="966">
        <f>+E35+E54+E55+E56+E57+E60+E61</f>
        <v>12389.842872040002</v>
      </c>
      <c r="F34" s="966">
        <f>+F35+F54+F55+F56+F57+F60+F61</f>
        <v>11525.303777839999</v>
      </c>
      <c r="G34" s="967">
        <f t="shared" ref="G34" si="11">IF(IFERROR((F34-E34)/E34*100,"")&gt;500,"-",IFERROR((F34-E34)/E34*100,""))</f>
        <v>-6.9778051515971784</v>
      </c>
      <c r="H34" s="967">
        <f t="shared" ref="H34:H57" si="12">IFERROR((F34-E34)/$E$66*100,"-")</f>
        <v>-6.9717123402543884</v>
      </c>
      <c r="I34" s="298"/>
      <c r="J34" s="298"/>
      <c r="K34" s="298"/>
      <c r="M34" s="469"/>
      <c r="N34" s="469"/>
    </row>
    <row r="35" spans="3:14" s="128" customFormat="1" ht="15" customHeight="1">
      <c r="C35" s="980" t="str">
        <f>IF(Indice_index!$Z$1=1,"Prestações Sociais","Social Benefits")</f>
        <v>Social Benefits</v>
      </c>
      <c r="D35" s="981">
        <f t="shared" ref="D35" si="13">+D36+SUM(D42:D53)</f>
        <v>27677.403530839998</v>
      </c>
      <c r="E35" s="982">
        <f t="shared" ref="E35:F35" si="14">+E36+SUM(E42:E53)</f>
        <v>10902.1413135</v>
      </c>
      <c r="F35" s="982">
        <f t="shared" si="14"/>
        <v>10233.027951319998</v>
      </c>
      <c r="G35" s="983">
        <f t="shared" ref="G35:G57" si="15">IF(IFERROR((F35-E35)/E35*100,"")&gt;500,"-",IFERROR((F35-E35)/E35*100,""))</f>
        <v>-6.1374489922584852</v>
      </c>
      <c r="H35" s="983">
        <f t="shared" si="12"/>
        <v>-5.3957836209316046</v>
      </c>
      <c r="I35" s="218"/>
      <c r="J35" s="218"/>
      <c r="K35" s="218"/>
      <c r="M35" s="469"/>
      <c r="N35" s="469"/>
    </row>
    <row r="36" spans="3:14" s="130" customFormat="1" ht="15" customHeight="1">
      <c r="C36" s="980" t="str">
        <f>IF(Indice_index!$Z$1=1,"      Pensões","      Pensions")</f>
        <v xml:space="preserve">      Pensions</v>
      </c>
      <c r="D36" s="668">
        <f t="shared" ref="D36" si="16">(SUM(D37:D41))</f>
        <v>18459.21372498</v>
      </c>
      <c r="E36" s="668">
        <f>((SUM(E37:E41)))</f>
        <v>6561.8096168299999</v>
      </c>
      <c r="F36" s="668">
        <f>((SUM(F37:F41)))</f>
        <v>6709.5174208399994</v>
      </c>
      <c r="G36" s="970">
        <f t="shared" si="15"/>
        <v>2.2510223952726776</v>
      </c>
      <c r="H36" s="970">
        <f t="shared" si="12"/>
        <v>1.1911275347487771</v>
      </c>
      <c r="I36" s="218"/>
      <c r="J36" s="218"/>
      <c r="K36" s="218"/>
      <c r="M36" s="469"/>
      <c r="N36" s="469"/>
    </row>
    <row r="37" spans="3:14" s="130" customFormat="1" ht="15" customHeight="1">
      <c r="C37" s="980" t="str">
        <f>IF(Indice_index!$Z$1=1,"            Sobrevivência","            Survival")</f>
        <v xml:space="preserve">            Survival</v>
      </c>
      <c r="D37" s="969">
        <v>2590.4848075700002</v>
      </c>
      <c r="E37" s="969">
        <v>924.97567680999998</v>
      </c>
      <c r="F37" s="969">
        <v>947.28638026999988</v>
      </c>
      <c r="G37" s="970">
        <f t="shared" si="15"/>
        <v>2.4120313668077955</v>
      </c>
      <c r="H37" s="970">
        <f t="shared" si="12"/>
        <v>0.17991529553185706</v>
      </c>
      <c r="I37" s="218"/>
      <c r="J37" s="218"/>
      <c r="K37" s="218"/>
      <c r="M37" s="469"/>
      <c r="N37" s="469"/>
    </row>
    <row r="38" spans="3:14" s="130" customFormat="1" ht="15" customHeight="1">
      <c r="C38" s="980" t="str">
        <f>IF(Indice_index!$Z$1=1,"            Invalidez","            Disability")</f>
        <v xml:space="preserve">            Disability</v>
      </c>
      <c r="D38" s="969">
        <v>1166.6139236599995</v>
      </c>
      <c r="E38" s="969">
        <v>424.92477061</v>
      </c>
      <c r="F38" s="969">
        <v>422.56258508000019</v>
      </c>
      <c r="G38" s="970">
        <f t="shared" si="15"/>
        <v>-0.5559067612388835</v>
      </c>
      <c r="H38" s="970">
        <f t="shared" si="12"/>
        <v>-1.9048852874269408E-2</v>
      </c>
      <c r="I38" s="218"/>
      <c r="J38" s="218"/>
      <c r="K38" s="218"/>
      <c r="M38" s="469"/>
      <c r="N38" s="469"/>
    </row>
    <row r="39" spans="3:14" s="130" customFormat="1" ht="15" customHeight="1">
      <c r="C39" s="980" t="str">
        <f>IF(Indice_index!$Z$1=1,"            Velhice","            Old-age")</f>
        <v xml:space="preserve">            Old-age</v>
      </c>
      <c r="D39" s="969">
        <v>13911.745101300001</v>
      </c>
      <c r="E39" s="969">
        <v>4937.6235959399992</v>
      </c>
      <c r="F39" s="969">
        <v>5076.1368805699994</v>
      </c>
      <c r="G39" s="970">
        <f t="shared" si="15"/>
        <v>2.8052621253652048</v>
      </c>
      <c r="H39" s="970">
        <f t="shared" si="12"/>
        <v>1.1169821957417942</v>
      </c>
      <c r="I39" s="218"/>
      <c r="J39" s="218"/>
      <c r="K39" s="218"/>
      <c r="M39" s="469"/>
      <c r="N39" s="469"/>
    </row>
    <row r="40" spans="3:14" s="130" customFormat="1" ht="15" customHeight="1">
      <c r="C40" s="980" t="str">
        <f>IF(Indice_index!$Z$1=1,"            Beneficiários dos antigos combatentes","            War veteran beneficiaries")</f>
        <v xml:space="preserve">            War veteran beneficiaries</v>
      </c>
      <c r="D40" s="969">
        <v>43.599297430000007</v>
      </c>
      <c r="E40" s="969">
        <v>0.20290868000000006</v>
      </c>
      <c r="F40" s="969">
        <v>0.36478344000000001</v>
      </c>
      <c r="G40" s="984">
        <f t="shared" si="15"/>
        <v>79.777149011072325</v>
      </c>
      <c r="H40" s="984">
        <f t="shared" si="12"/>
        <v>1.30537099992223E-3</v>
      </c>
      <c r="I40" s="218"/>
      <c r="J40" s="218"/>
      <c r="K40" s="218"/>
      <c r="M40" s="469"/>
      <c r="N40" s="469"/>
    </row>
    <row r="41" spans="3:14" s="130" customFormat="1" ht="15" customHeight="1">
      <c r="C41" s="980" t="str">
        <f>IF(Indice_index!$Z$1=1,"            Parcela de atualização extraordinária de pensões","            Portion of extraordinary pensions update")</f>
        <v xml:space="preserve">            Portion of extraordinary pensions update</v>
      </c>
      <c r="D41" s="969">
        <v>746.77059501999997</v>
      </c>
      <c r="E41" s="969">
        <v>274.08266479000002</v>
      </c>
      <c r="F41" s="969">
        <v>263.16679148000003</v>
      </c>
      <c r="G41" s="984">
        <f t="shared" si="15"/>
        <v>-3.9826938045730294</v>
      </c>
      <c r="H41" s="984">
        <f t="shared" si="12"/>
        <v>-8.8026474650520437E-2</v>
      </c>
      <c r="I41" s="218"/>
      <c r="J41" s="218"/>
      <c r="K41" s="218"/>
      <c r="M41" s="469"/>
      <c r="N41" s="469"/>
    </row>
    <row r="42" spans="3:14" s="130" customFormat="1" ht="15" customHeight="1">
      <c r="C42" s="976" t="str">
        <f>IF(Indice_index!$Z$1=1,"Subsídio familiar a crianças e jovens","Family benefit")</f>
        <v>Family benefit</v>
      </c>
      <c r="D42" s="969">
        <v>785.93262444000004</v>
      </c>
      <c r="E42" s="969">
        <v>325.53952612</v>
      </c>
      <c r="F42" s="969">
        <v>313.64855682999996</v>
      </c>
      <c r="G42" s="984">
        <f t="shared" si="15"/>
        <v>-3.6526960125932013</v>
      </c>
      <c r="H42" s="970">
        <f t="shared" si="12"/>
        <v>-9.5889726552378471E-2</v>
      </c>
      <c r="I42" s="218"/>
      <c r="J42" s="218"/>
      <c r="K42" s="218"/>
      <c r="M42" s="469"/>
      <c r="N42" s="469"/>
    </row>
    <row r="43" spans="3:14" s="130" customFormat="1" ht="15" customHeight="1">
      <c r="C43" s="971" t="str">
        <f>IF(Indice_index!$Z$1=1,"Subsídio por doença","Illness benefit")</f>
        <v>Illness benefit</v>
      </c>
      <c r="D43" s="969">
        <v>753.50125893000006</v>
      </c>
      <c r="E43" s="969">
        <v>303.55238177000007</v>
      </c>
      <c r="F43" s="969">
        <v>367.22500587000002</v>
      </c>
      <c r="G43" s="970">
        <f t="shared" si="15"/>
        <v>20.97582754209596</v>
      </c>
      <c r="H43" s="970">
        <f t="shared" si="12"/>
        <v>0.51346112877071903</v>
      </c>
      <c r="I43" s="218"/>
      <c r="J43" s="218"/>
      <c r="K43" s="218"/>
      <c r="M43" s="469"/>
      <c r="N43" s="469"/>
    </row>
    <row r="44" spans="3:14" s="130" customFormat="1" ht="15" customHeight="1">
      <c r="C44" s="971" t="str">
        <f>IF(Indice_index!$Z$1=1,"Prestações de desemprego","Unemployment benefits")</f>
        <v>Unemployment benefits</v>
      </c>
      <c r="D44" s="969">
        <v>1592.5085594000002</v>
      </c>
      <c r="E44" s="969">
        <v>760.13321752000002</v>
      </c>
      <c r="F44" s="969">
        <v>581.95500062999997</v>
      </c>
      <c r="G44" s="970">
        <f t="shared" si="15"/>
        <v>-23.44039344462827</v>
      </c>
      <c r="H44" s="970">
        <f t="shared" si="12"/>
        <v>-1.4368433790793538</v>
      </c>
      <c r="I44" s="218"/>
      <c r="J44" s="218"/>
      <c r="K44" s="218"/>
      <c r="M44" s="469"/>
      <c r="N44" s="469"/>
    </row>
    <row r="45" spans="3:14" s="130" customFormat="1" ht="15" customHeight="1">
      <c r="C45" s="971" t="str">
        <f>IF(Indice_index!$Z$1=1,"Complemento Solidário para Idosos","Elderly pension supplement")</f>
        <v>Elderly pension supplement</v>
      </c>
      <c r="D45" s="969">
        <v>204.31185116</v>
      </c>
      <c r="E45" s="969">
        <v>85.791357590000004</v>
      </c>
      <c r="F45" s="969">
        <v>84.079318049999998</v>
      </c>
      <c r="G45" s="970">
        <f t="shared" si="15"/>
        <v>-1.9955850893302156</v>
      </c>
      <c r="H45" s="970">
        <f t="shared" si="12"/>
        <v>-1.3806023658266451E-2</v>
      </c>
      <c r="I45" s="218"/>
      <c r="J45" s="218"/>
      <c r="K45" s="218"/>
      <c r="M45" s="469"/>
      <c r="N45" s="469"/>
    </row>
    <row r="46" spans="3:14" s="130" customFormat="1" ht="15" customHeight="1">
      <c r="C46" s="971" t="str">
        <f>IF(Indice_index!$Z$1=1,"Prestação Social para a Inclusão","Social benefits for inclusion")</f>
        <v>Social benefits for inclusion</v>
      </c>
      <c r="D46" s="969">
        <v>524.53333005000002</v>
      </c>
      <c r="E46" s="969">
        <v>268.51967631999997</v>
      </c>
      <c r="F46" s="969">
        <v>191.77079676</v>
      </c>
      <c r="G46" s="970">
        <f t="shared" si="15"/>
        <v>-28.582218112216434</v>
      </c>
      <c r="H46" s="970">
        <f t="shared" si="12"/>
        <v>-0.61890909771324443</v>
      </c>
      <c r="I46" s="218"/>
      <c r="J46" s="218"/>
      <c r="K46" s="218"/>
      <c r="M46" s="469"/>
      <c r="N46" s="469"/>
    </row>
    <row r="47" spans="3:14" s="130" customFormat="1" ht="15" customHeight="1">
      <c r="C47" s="971" t="str">
        <f>IF(Indice_index!$Z$1=1,"Prestações de parentalidade","Parenthood benefits")</f>
        <v>Parenthood benefits</v>
      </c>
      <c r="D47" s="969">
        <v>638.13390999000012</v>
      </c>
      <c r="E47" s="969">
        <v>255.01689570999997</v>
      </c>
      <c r="F47" s="969">
        <v>298.14768743000002</v>
      </c>
      <c r="G47" s="970">
        <f t="shared" si="15"/>
        <v>16.912915357987696</v>
      </c>
      <c r="H47" s="970">
        <f t="shared" si="12"/>
        <v>0.34781015097705115</v>
      </c>
      <c r="I47" s="218"/>
      <c r="J47" s="218"/>
      <c r="K47" s="218"/>
      <c r="M47" s="469"/>
      <c r="N47" s="469"/>
    </row>
    <row r="48" spans="3:14" s="130" customFormat="1" ht="15" customHeight="1">
      <c r="C48" s="971" t="str">
        <f>IF(Indice_index!$Z$1=1,"Medidas excecionais e temporárias (COVID-19)","Exceptional and temporary measures (COVID-19)")</f>
        <v>Exceptional and temporary measures (COVID-19)</v>
      </c>
      <c r="D48" s="969">
        <v>1919.9825029600001</v>
      </c>
      <c r="E48" s="969">
        <v>1208.0171917499999</v>
      </c>
      <c r="F48" s="969">
        <v>511.16747697</v>
      </c>
      <c r="G48" s="970">
        <f t="shared" si="15"/>
        <v>-57.685413712573506</v>
      </c>
      <c r="H48" s="970">
        <f t="shared" si="12"/>
        <v>-5.6194517846876773</v>
      </c>
      <c r="I48" s="690"/>
      <c r="J48" s="218"/>
      <c r="K48" s="218"/>
      <c r="M48" s="469"/>
      <c r="N48" s="469"/>
    </row>
    <row r="49" spans="3:14" s="130" customFormat="1" ht="15" hidden="1" customHeight="1">
      <c r="C49" s="971" t="str">
        <f>IF(Indice_index!$Z$1=1,"Complemento-creche","Child daycare supplement")</f>
        <v>Child daycare supplement</v>
      </c>
      <c r="D49" s="969">
        <v>0</v>
      </c>
      <c r="E49" s="969">
        <v>0</v>
      </c>
      <c r="F49" s="969">
        <v>0</v>
      </c>
      <c r="G49" s="970" t="str">
        <f t="shared" si="15"/>
        <v>-</v>
      </c>
      <c r="H49" s="970">
        <f t="shared" si="12"/>
        <v>0</v>
      </c>
      <c r="I49" s="218"/>
      <c r="J49" s="218"/>
      <c r="K49" s="218"/>
      <c r="M49" s="469"/>
      <c r="N49" s="469"/>
    </row>
    <row r="50" spans="3:14" s="130" customFormat="1" ht="15" customHeight="1">
      <c r="C50" s="971" t="str">
        <f>IF(Indice_index!$Z$1=1,"Outras prestações","Other benefits")</f>
        <v>Other benefits</v>
      </c>
      <c r="D50" s="969">
        <v>393.84301586999993</v>
      </c>
      <c r="E50" s="969">
        <v>164.78976711000001</v>
      </c>
      <c r="F50" s="969">
        <v>207.57219020999995</v>
      </c>
      <c r="G50" s="970">
        <f t="shared" si="15"/>
        <v>25.961820233316992</v>
      </c>
      <c r="H50" s="970">
        <f t="shared" si="12"/>
        <v>0.34500087858751322</v>
      </c>
      <c r="I50" s="218"/>
      <c r="J50" s="218"/>
      <c r="K50" s="218"/>
      <c r="M50" s="469"/>
      <c r="N50" s="469"/>
    </row>
    <row r="51" spans="3:14" s="130" customFormat="1" ht="15" customHeight="1">
      <c r="C51" s="971" t="str">
        <f>IF(Indice_index!$Z$1=1,"Ação social","Social assistance")</f>
        <v>Social assistance</v>
      </c>
      <c r="D51" s="969">
        <v>2047.68765882</v>
      </c>
      <c r="E51" s="969">
        <v>816.85073844999999</v>
      </c>
      <c r="F51" s="969">
        <v>824.0213993399999</v>
      </c>
      <c r="G51" s="970">
        <f t="shared" si="15"/>
        <v>0.87784224858588766</v>
      </c>
      <c r="H51" s="970">
        <f t="shared" si="12"/>
        <v>5.7824782418719328E-2</v>
      </c>
      <c r="I51" s="218"/>
      <c r="J51" s="218"/>
      <c r="K51" s="218"/>
      <c r="M51" s="469"/>
      <c r="N51" s="469"/>
    </row>
    <row r="52" spans="3:14" s="130" customFormat="1" ht="15" customHeight="1">
      <c r="C52" s="971" t="str">
        <f>IF(Indice_index!$Z$1=1,"Rendimento Social de Inserção","Social Integration Income")</f>
        <v>Social Integration Income</v>
      </c>
      <c r="D52" s="969">
        <v>356.16135638999998</v>
      </c>
      <c r="E52" s="969">
        <v>151.61132193</v>
      </c>
      <c r="F52" s="969">
        <v>141.94402508000002</v>
      </c>
      <c r="G52" s="970">
        <f t="shared" si="15"/>
        <v>-6.376368682058879</v>
      </c>
      <c r="H52" s="970">
        <f t="shared" si="12"/>
        <v>-7.7957854304336952E-2</v>
      </c>
      <c r="I52" s="218"/>
      <c r="J52" s="218"/>
      <c r="K52" s="218"/>
      <c r="M52" s="469"/>
      <c r="N52" s="469"/>
    </row>
    <row r="53" spans="3:14" s="130" customFormat="1" ht="15" customHeight="1">
      <c r="C53" s="971" t="str">
        <f>IF(Indice_index!$Z$1=1,"Subsídio de Apoio ao Cuidador Informal","Social Benefit for Informal Caregivers")</f>
        <v>Social Benefit for Informal Caregivers</v>
      </c>
      <c r="D53" s="969">
        <v>1.5937378499999999</v>
      </c>
      <c r="E53" s="969">
        <v>0.50962240000000003</v>
      </c>
      <c r="F53" s="969">
        <v>1.97907331</v>
      </c>
      <c r="G53" s="970">
        <f t="shared" si="15"/>
        <v>288.34111491174639</v>
      </c>
      <c r="H53" s="970">
        <f t="shared" si="12"/>
        <v>1.184976956088356E-2</v>
      </c>
      <c r="I53" s="218"/>
      <c r="J53" s="218"/>
      <c r="K53" s="218"/>
      <c r="M53" s="469"/>
      <c r="N53" s="469"/>
    </row>
    <row r="54" spans="3:14" s="130" customFormat="1" ht="15" customHeight="1">
      <c r="C54" s="985" t="str">
        <f>IF(Indice_index!$Z$1=1,"Pensão velhice do regime substitutivo dos bancários","Old age pension scheme from Banking regime")</f>
        <v>Old age pension scheme from Banking regime</v>
      </c>
      <c r="D54" s="969">
        <v>429.57635345999995</v>
      </c>
      <c r="E54" s="969">
        <v>185.19230717000002</v>
      </c>
      <c r="F54" s="969">
        <v>179.89079001999997</v>
      </c>
      <c r="G54" s="984">
        <f t="shared" si="15"/>
        <v>-2.8627091648755396</v>
      </c>
      <c r="H54" s="970">
        <f t="shared" si="12"/>
        <v>-4.2751857937583487E-2</v>
      </c>
      <c r="I54" s="218"/>
      <c r="J54" s="218"/>
      <c r="K54" s="218"/>
      <c r="L54" s="128"/>
      <c r="M54" s="469"/>
      <c r="N54" s="469"/>
    </row>
    <row r="55" spans="3:14" ht="15" customHeight="1">
      <c r="C55" s="980" t="str">
        <f>IF(Indice_index!$Z$1=1,"Administração","Administration")</f>
        <v>Administration</v>
      </c>
      <c r="D55" s="969">
        <v>327.75730796999994</v>
      </c>
      <c r="E55" s="969">
        <v>111.42390954000004</v>
      </c>
      <c r="F55" s="969">
        <v>115.17920292999997</v>
      </c>
      <c r="G55" s="970">
        <f t="shared" si="15"/>
        <v>3.3702760973862822</v>
      </c>
      <c r="H55" s="984">
        <f t="shared" si="12"/>
        <v>3.0282985979442116E-2</v>
      </c>
      <c r="I55" s="218"/>
      <c r="J55" s="218"/>
      <c r="K55" s="218"/>
      <c r="M55" s="469"/>
      <c r="N55" s="469"/>
    </row>
    <row r="56" spans="3:14" ht="15" customHeight="1">
      <c r="C56" s="980" t="str">
        <f>IF(Indice_index!$Z$1=1,"Transferências correntes","Current transfers")</f>
        <v>Current transfers</v>
      </c>
      <c r="D56" s="969">
        <v>1313.6678272599991</v>
      </c>
      <c r="E56" s="969">
        <v>562.77243727000086</v>
      </c>
      <c r="F56" s="969">
        <v>514.22198483999989</v>
      </c>
      <c r="G56" s="970">
        <f>IF(IFERROR((F56-E56)/E56*100,"")&gt;500,"-",IFERROR((F56-E56)/E56*100,""))</f>
        <v>-8.6270131965805508</v>
      </c>
      <c r="H56" s="984">
        <f t="shared" si="12"/>
        <v>-0.39151472802323878</v>
      </c>
      <c r="I56" s="218"/>
      <c r="J56" s="218"/>
      <c r="K56" s="218"/>
      <c r="M56" s="469"/>
      <c r="N56" s="469"/>
    </row>
    <row r="57" spans="3:14" ht="15" customHeight="1">
      <c r="C57" s="985" t="str">
        <f>IF(Indice_index!$Z$1=1,"Ações de Formação Profissional","Vocational Training Programs")</f>
        <v>Vocational Training Programs</v>
      </c>
      <c r="D57" s="969">
        <v>1279.2804758</v>
      </c>
      <c r="E57" s="969">
        <v>544.54912841000009</v>
      </c>
      <c r="F57" s="969">
        <v>382.93378416000002</v>
      </c>
      <c r="G57" s="970">
        <f t="shared" si="15"/>
        <v>-29.678744454497995</v>
      </c>
      <c r="H57" s="970">
        <f t="shared" si="12"/>
        <v>-1.3032790505845266</v>
      </c>
      <c r="I57" s="218"/>
      <c r="J57" s="218"/>
      <c r="K57" s="218"/>
      <c r="M57" s="469"/>
      <c r="N57" s="469"/>
    </row>
    <row r="58" spans="3:14" ht="15" customHeight="1">
      <c r="C58" s="972" t="str">
        <f>IF(Indice_index!$Z$1=1,"dos quais:","of which:")</f>
        <v>of which:</v>
      </c>
      <c r="D58" s="969"/>
      <c r="E58" s="969"/>
      <c r="F58" s="969"/>
      <c r="G58" s="970"/>
      <c r="H58" s="970"/>
      <c r="I58" s="218"/>
      <c r="J58" s="218"/>
      <c r="K58" s="218"/>
      <c r="M58" s="469"/>
      <c r="N58" s="469"/>
    </row>
    <row r="59" spans="3:14" s="131" customFormat="1" ht="15" customHeight="1">
      <c r="C59" s="986" t="str">
        <f>IF(Indice_index!$Z$1=1,"Com suporte no Fundo Social Europeu","Supported by the European Social Fund")</f>
        <v>Supported by the European Social Fund</v>
      </c>
      <c r="D59" s="969">
        <v>1210.2826756499999</v>
      </c>
      <c r="E59" s="969">
        <v>510.29865683000008</v>
      </c>
      <c r="F59" s="969">
        <v>346.93921043</v>
      </c>
      <c r="G59" s="970">
        <f t="shared" ref="G59:G64" si="17">IF(IFERROR((F59-E59)/E59*100,"")&gt;500,"-",IFERROR((F59-E59)/E59*100,""))</f>
        <v>-32.012517417701403</v>
      </c>
      <c r="H59" s="970">
        <f t="shared" ref="H59:H64" si="18">IFERROR((F59-E59)/$E$66*100,"-")</f>
        <v>-1.3173436296919305</v>
      </c>
      <c r="I59" s="218"/>
      <c r="J59" s="218"/>
      <c r="K59" s="218"/>
      <c r="M59" s="469"/>
      <c r="N59" s="469"/>
    </row>
    <row r="60" spans="3:14" s="131" customFormat="1" ht="15" customHeight="1">
      <c r="C60" s="985" t="str">
        <f>IF(Indice_index!$Z$1=1,"Subsídios Correntes - Outros PO PT2020","Current subsidies – Others PO PT2020")</f>
        <v>Current subsidies – Others PO PT2020</v>
      </c>
      <c r="D60" s="969">
        <v>165.51368667</v>
      </c>
      <c r="E60" s="969">
        <v>82.308793309999999</v>
      </c>
      <c r="F60" s="969">
        <v>98.065182069999992</v>
      </c>
      <c r="G60" s="970">
        <f t="shared" si="17"/>
        <v>19.143019993813578</v>
      </c>
      <c r="H60" s="970">
        <f t="shared" si="18"/>
        <v>0.12706077804102742</v>
      </c>
      <c r="I60" s="218"/>
      <c r="J60" s="218"/>
      <c r="K60" s="218"/>
      <c r="M60" s="469"/>
      <c r="N60" s="469"/>
    </row>
    <row r="61" spans="3:14" s="131" customFormat="1" ht="15" customHeight="1">
      <c r="C61" s="985" t="str">
        <f>IF(Indice_index!$Z$1=1,"Subsídios Correntes - Programa Operacional de Apoio às Pessoas Mais Carenciadas - POAPMC","Current subsidies – Operational Program for Aid to the Most Deprived - POAPMC")</f>
        <v>Current subsidies – Operational Program for Aid to the Most Deprived - POAPMC</v>
      </c>
      <c r="D61" s="969">
        <v>3.5964934799999964</v>
      </c>
      <c r="E61" s="969">
        <v>1.4549828400000004</v>
      </c>
      <c r="F61" s="969">
        <v>1.9848825000000001</v>
      </c>
      <c r="G61" s="970">
        <f t="shared" si="17"/>
        <v>36.419650145152197</v>
      </c>
      <c r="H61" s="970">
        <f t="shared" si="18"/>
        <v>4.2731532020967907E-3</v>
      </c>
      <c r="I61" s="218"/>
      <c r="J61" s="218"/>
      <c r="K61" s="218"/>
      <c r="M61" s="469"/>
      <c r="N61" s="469"/>
    </row>
    <row r="62" spans="3:14" s="297" customFormat="1" ht="15" customHeight="1">
      <c r="C62" s="965" t="str">
        <f>IF(Indice_index!$Z$1=1,"Despesa de Capital","Capital expenditure")</f>
        <v>Capital expenditure</v>
      </c>
      <c r="D62" s="966">
        <f t="shared" ref="D62" si="19">+D63+D64</f>
        <v>41.481170159999998</v>
      </c>
      <c r="E62" s="966">
        <f t="shared" ref="E62:F62" si="20">+E63+E64</f>
        <v>10.827895859999998</v>
      </c>
      <c r="F62" s="966">
        <f t="shared" si="20"/>
        <v>4.27387915</v>
      </c>
      <c r="G62" s="967">
        <f t="shared" si="17"/>
        <v>-60.528996535805248</v>
      </c>
      <c r="H62" s="967">
        <f t="shared" si="18"/>
        <v>-5.2852114475658248E-2</v>
      </c>
      <c r="I62" s="298"/>
      <c r="J62" s="298"/>
      <c r="K62" s="298"/>
      <c r="M62" s="469"/>
      <c r="N62" s="469"/>
    </row>
    <row r="63" spans="3:14" ht="15" customHeight="1">
      <c r="C63" s="976" t="str">
        <f>IF(Indice_index!$Z$1=1,"PIDDAC","PIDDAC - Central Admin. Invest. and Expend. Develop. Program")</f>
        <v>PIDDAC - Central Admin. Invest. and Expend. Develop. Program</v>
      </c>
      <c r="D63" s="969">
        <v>0.35642126000000002</v>
      </c>
      <c r="E63" s="969">
        <v>4.8867510000000003E-2</v>
      </c>
      <c r="F63" s="969">
        <v>0</v>
      </c>
      <c r="G63" s="983">
        <f t="shared" si="17"/>
        <v>-100</v>
      </c>
      <c r="H63" s="970">
        <f t="shared" si="18"/>
        <v>-3.9407150560352711E-4</v>
      </c>
      <c r="I63" s="218"/>
      <c r="J63" s="218"/>
      <c r="K63" s="218"/>
      <c r="L63" s="128"/>
      <c r="M63" s="469"/>
      <c r="N63" s="469"/>
    </row>
    <row r="64" spans="3:14" ht="15" customHeight="1">
      <c r="C64" s="976" t="str">
        <f>IF(Indice_index!$Z$1=1,"Outras","Others")</f>
        <v>Others</v>
      </c>
      <c r="D64" s="969">
        <v>41.1247489</v>
      </c>
      <c r="E64" s="969">
        <v>10.779028349999999</v>
      </c>
      <c r="F64" s="969">
        <v>4.27387915</v>
      </c>
      <c r="G64" s="983">
        <f t="shared" si="17"/>
        <v>-60.350051867151819</v>
      </c>
      <c r="H64" s="970">
        <f t="shared" si="18"/>
        <v>-5.2458042970054727E-2</v>
      </c>
      <c r="I64" s="218"/>
      <c r="J64" s="218"/>
      <c r="K64" s="218"/>
      <c r="M64" s="469"/>
      <c r="N64" s="469"/>
    </row>
    <row r="65" spans="3:17" ht="4.5" customHeight="1">
      <c r="C65" s="963"/>
      <c r="D65" s="969"/>
      <c r="E65" s="969"/>
      <c r="F65" s="969"/>
      <c r="G65" s="970"/>
      <c r="H65" s="963"/>
      <c r="I65" s="218"/>
      <c r="J65" s="218"/>
      <c r="K65" s="218"/>
      <c r="M65" s="469"/>
      <c r="N65" s="469"/>
    </row>
    <row r="66" spans="3:17" s="297" customFormat="1" ht="15" customHeight="1">
      <c r="C66" s="977" t="str">
        <f>IF(Indice_index!$Z$1=1,"Despesa efetiva","Effective expenditure")</f>
        <v>Effective expenditure</v>
      </c>
      <c r="D66" s="978">
        <f>+D34+D62</f>
        <v>31238.276845640001</v>
      </c>
      <c r="E66" s="978">
        <f>+E34+E62</f>
        <v>12400.670767900003</v>
      </c>
      <c r="F66" s="978">
        <f>+F34+F62</f>
        <v>11529.577656989999</v>
      </c>
      <c r="G66" s="979">
        <f>IF(IFERROR((F66-E66)/E66*100,"")&gt;500,"-",IFERROR((F66-E66)/E66*100,""))</f>
        <v>-7.0245644547300516</v>
      </c>
      <c r="H66" s="979"/>
      <c r="I66" s="298"/>
      <c r="J66" s="298"/>
      <c r="K66" s="298"/>
      <c r="M66" s="469"/>
      <c r="N66" s="469"/>
    </row>
    <row r="67" spans="3:17" ht="4.5" customHeight="1">
      <c r="C67" s="987"/>
      <c r="D67" s="969"/>
      <c r="E67" s="969"/>
      <c r="F67" s="969"/>
      <c r="G67" s="963"/>
      <c r="H67" s="963"/>
      <c r="I67" s="218"/>
      <c r="J67" s="218"/>
      <c r="K67" s="218"/>
      <c r="L67" s="128"/>
      <c r="M67" s="469"/>
      <c r="N67" s="469"/>
    </row>
    <row r="68" spans="3:17" s="299" customFormat="1" ht="15" customHeight="1">
      <c r="C68" s="988" t="str">
        <f>IF(Indice_index!$Z$1=1,"Saldo global","Overall balance")</f>
        <v>Overall balance</v>
      </c>
      <c r="D68" s="989">
        <f>+D32-D66</f>
        <v>2328.2650340599866</v>
      </c>
      <c r="E68" s="989">
        <f>+E32-E66</f>
        <v>299.06548744999782</v>
      </c>
      <c r="F68" s="989">
        <f>+F32-F66</f>
        <v>2043.3212096300012</v>
      </c>
      <c r="G68" s="989"/>
      <c r="H68" s="989"/>
      <c r="I68" s="298"/>
      <c r="J68" s="298"/>
      <c r="K68" s="298"/>
      <c r="L68" s="297"/>
      <c r="M68" s="469"/>
      <c r="N68" s="469"/>
    </row>
    <row r="69" spans="3:17" ht="4.5" customHeight="1">
      <c r="C69" s="990"/>
      <c r="D69" s="969"/>
      <c r="E69" s="969"/>
      <c r="F69" s="969"/>
      <c r="G69" s="963"/>
      <c r="H69" s="963"/>
      <c r="I69" s="218"/>
      <c r="J69" s="218"/>
      <c r="K69" s="218"/>
      <c r="M69" s="469"/>
      <c r="N69" s="469"/>
    </row>
    <row r="70" spans="3:17" ht="15" customHeight="1">
      <c r="C70" s="971" t="str">
        <f>IF(Indice_index!$Z$1=1,"Ativos financeiros líquidos de reembolsos","Financial assets net of reimbursements")</f>
        <v>Financial assets net of reimbursements</v>
      </c>
      <c r="D70" s="969">
        <v>4376.8330583500019</v>
      </c>
      <c r="E70" s="969">
        <v>1728.0754121899986</v>
      </c>
      <c r="F70" s="969">
        <v>-1126.1613366200004</v>
      </c>
      <c r="G70" s="963"/>
      <c r="H70" s="970"/>
      <c r="I70" s="218"/>
      <c r="J70" s="218"/>
      <c r="K70" s="218"/>
      <c r="M70" s="469"/>
      <c r="N70" s="469"/>
    </row>
    <row r="71" spans="3:17" ht="15" customHeight="1">
      <c r="C71" s="991" t="str">
        <f>IF(Indice_index!$Z$1=1,"Alienação de partes de Capital","Disposal of Capital Shares")</f>
        <v>Disposal of Capital Shares</v>
      </c>
      <c r="D71" s="969">
        <v>0</v>
      </c>
      <c r="E71" s="969">
        <v>0</v>
      </c>
      <c r="F71" s="969">
        <v>0</v>
      </c>
      <c r="G71" s="963"/>
      <c r="H71" s="963"/>
      <c r="I71" s="218"/>
      <c r="J71" s="218"/>
      <c r="K71" s="218"/>
      <c r="M71" s="469"/>
      <c r="N71" s="469"/>
    </row>
    <row r="72" spans="3:17" ht="15" customHeight="1">
      <c r="C72" s="971" t="str">
        <f>IF(Indice_index!$Z$1=1,"Passivos financeiros líquidos de amortizações","Financial liabilities net of amortizations")</f>
        <v>Financial liabilities net of amortizations</v>
      </c>
      <c r="D72" s="969">
        <v>0</v>
      </c>
      <c r="E72" s="969">
        <v>0</v>
      </c>
      <c r="F72" s="969">
        <v>-5.8375830000000004E-2</v>
      </c>
      <c r="G72" s="963"/>
      <c r="H72" s="963"/>
      <c r="I72" s="218"/>
      <c r="J72" s="218"/>
      <c r="K72" s="218"/>
      <c r="M72" s="469"/>
      <c r="N72" s="469"/>
    </row>
    <row r="73" spans="3:17" ht="15" customHeight="1">
      <c r="C73" s="992" t="str">
        <f>IF(Indice_index!$Z$1=1,"Poupança (+) / Utilização (-) de saldo da gerência anterior","Saving (+) / Usage (-) of balance from previous management")</f>
        <v>Saving (+) / Usage (-) of balance from previous management</v>
      </c>
      <c r="D73" s="993">
        <f t="shared" ref="D73" si="21">+D68-D70+D72</f>
        <v>-2048.5680242900153</v>
      </c>
      <c r="E73" s="993">
        <f t="shared" ref="E73:F73" si="22">+E68-E70+E72</f>
        <v>-1429.0099247400008</v>
      </c>
      <c r="F73" s="993">
        <f t="shared" si="22"/>
        <v>3169.4241704200017</v>
      </c>
      <c r="G73" s="994"/>
      <c r="H73" s="994"/>
      <c r="I73" s="218"/>
      <c r="J73" s="218"/>
      <c r="K73" s="218"/>
      <c r="M73" s="469"/>
      <c r="N73" s="469"/>
    </row>
    <row r="74" spans="3:17" ht="4.5" customHeight="1">
      <c r="C74" s="963"/>
      <c r="D74" s="963"/>
      <c r="E74" s="969"/>
      <c r="F74" s="969"/>
      <c r="G74" s="963"/>
      <c r="H74" s="963"/>
      <c r="I74" s="389"/>
      <c r="J74" s="132"/>
    </row>
    <row r="75" spans="3:17" ht="15" customHeight="1">
      <c r="C75" s="995" t="str">
        <f>IF(Indice_index!$Z$1=1,"Notas:","Notes:")</f>
        <v>Notes:</v>
      </c>
      <c r="D75" s="995"/>
      <c r="E75" s="335"/>
      <c r="F75" s="138"/>
      <c r="G75" s="669"/>
      <c r="H75" s="669"/>
      <c r="J75" s="132"/>
    </row>
    <row r="76" spans="3:17" s="97" customFormat="1" ht="15" customHeight="1">
      <c r="C76" s="1702" t="str">
        <f>IF(Indice_index!$Z$1=1,"Valores consolidados - são excluídas transferências intra-setoriais.","Consolidated data - transfers within the subsector are excluded.")</f>
        <v>Consolidated data - transfers within the subsector are excluded.</v>
      </c>
      <c r="D76" s="1702"/>
      <c r="E76" s="1702"/>
      <c r="F76" s="1702"/>
      <c r="G76" s="1702"/>
      <c r="H76" s="1702"/>
    </row>
    <row r="77" spans="3:17" ht="15" customHeight="1">
      <c r="C77" s="1702"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7" s="1702"/>
      <c r="E77" s="1702"/>
      <c r="F77" s="1702"/>
      <c r="G77" s="1702"/>
      <c r="H77" s="1702"/>
      <c r="I77" s="53"/>
      <c r="J77" s="63"/>
    </row>
    <row r="78" spans="3:17" s="22" customFormat="1" ht="15" customHeight="1">
      <c r="C78" s="1703" t="str">
        <f>+'5 - Conta AC + SS'!$C$64</f>
        <v>2021 cumulative execution is monthly reviewed and updated and therefore may differ from data published in 2021.</v>
      </c>
      <c r="D78" s="1703"/>
      <c r="E78" s="1703"/>
      <c r="F78" s="1703"/>
      <c r="G78" s="1703"/>
      <c r="H78" s="1703"/>
      <c r="I78" s="63"/>
      <c r="P78" s="24"/>
      <c r="Q78" s="24"/>
    </row>
    <row r="79" spans="3:17" ht="62.25" customHeight="1">
      <c r="C79" s="1698" t="str">
        <f>IF(Indice_index!$Z$1=1,C111,C112)</f>
        <v>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v>
      </c>
      <c r="D79" s="1698"/>
      <c r="E79" s="1698"/>
      <c r="F79" s="1698"/>
      <c r="G79" s="1698"/>
      <c r="H79" s="1698"/>
      <c r="I79" s="53"/>
      <c r="J79" s="63"/>
    </row>
    <row r="80" spans="3:17" ht="4.5" customHeight="1">
      <c r="C80" s="669"/>
      <c r="D80" s="669"/>
      <c r="E80" s="996"/>
      <c r="F80" s="997"/>
      <c r="G80" s="669"/>
      <c r="H80" s="669"/>
    </row>
    <row r="81" spans="3:10" ht="15" customHeight="1">
      <c r="C81" s="963" t="str">
        <f>IF(Indice_index!$Z$1=1,"Fonte: Instituto de Gestão Financeira da Segurança Social, IP","Souce: Social Security Finance Management Institute")</f>
        <v>Souce: Social Security Finance Management Institute</v>
      </c>
      <c r="D81" s="963"/>
      <c r="E81" s="138"/>
      <c r="F81" s="138"/>
      <c r="G81" s="669"/>
      <c r="H81" s="669"/>
    </row>
    <row r="82" spans="3:10">
      <c r="C82" s="669"/>
      <c r="E82" s="670"/>
      <c r="F82" s="670"/>
      <c r="G82" s="670"/>
      <c r="H82" s="670"/>
      <c r="I82" s="63"/>
      <c r="J82" s="57"/>
    </row>
    <row r="84" spans="3:10" ht="12.75">
      <c r="E84" s="97"/>
      <c r="F84" s="97"/>
    </row>
    <row r="108" spans="3:8">
      <c r="C108" s="212"/>
      <c r="D108" s="212"/>
    </row>
    <row r="109" spans="3:8" s="135" customFormat="1">
      <c r="C109" s="133" t="s">
        <v>8</v>
      </c>
      <c r="D109" s="133"/>
      <c r="E109" s="134"/>
      <c r="F109" s="134"/>
    </row>
    <row r="110" spans="3:8">
      <c r="C110" s="133" t="s">
        <v>9</v>
      </c>
      <c r="D110" s="133"/>
    </row>
    <row r="111" spans="3:8">
      <c r="C111" s="368" t="s">
        <v>60</v>
      </c>
      <c r="D111" s="365"/>
      <c r="E111" s="366"/>
      <c r="F111" s="366"/>
      <c r="G111" s="367"/>
      <c r="H111" s="367"/>
    </row>
    <row r="112" spans="3:8">
      <c r="C112" s="368" t="s">
        <v>61</v>
      </c>
      <c r="D112" s="365"/>
      <c r="E112" s="366"/>
      <c r="F112" s="366"/>
      <c r="G112" s="367"/>
      <c r="H112" s="367"/>
    </row>
  </sheetData>
  <mergeCells count="6">
    <mergeCell ref="C79:H79"/>
    <mergeCell ref="E6:F6"/>
    <mergeCell ref="G6:H6"/>
    <mergeCell ref="C76:H76"/>
    <mergeCell ref="C77:H77"/>
    <mergeCell ref="C78:H78"/>
  </mergeCells>
  <printOptions horizontalCentered="1"/>
  <pageMargins left="0.70866141732283472" right="0.70866141732283472" top="0.74803149606299213" bottom="0.74803149606299213" header="0.74803149606299213" footer="0.35433070866141736"/>
  <pageSetup paperSize="9" scale="60" orientation="portrait" r:id="rId1"/>
  <headerFooter differentOddEven="1">
    <oddFooter>&amp;R&amp;G</oddFooter>
    <evenFooter>&amp;L&amp;G</evenFooter>
  </headerFooter>
  <ignoredErrors>
    <ignoredError sqref="C79 E76:F76 G76:H76 C76:C77 G7:H7 H6 F6 D6:E6 G6" unlockedFormula="1"/>
    <ignoredError sqref="E31:F31 E33:F33 D9:F9 E35:F35 D35:D36 E14:F14 E36:F36" formulaRange="1"/>
    <ignoredError sqref="D7:F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A149"/>
  <sheetViews>
    <sheetView showGridLines="0" zoomScaleNormal="100" zoomScaleSheetLayoutView="100" workbookViewId="0">
      <selection activeCell="B2" sqref="B2"/>
    </sheetView>
  </sheetViews>
  <sheetFormatPr defaultColWidth="9.140625" defaultRowHeight="15"/>
  <cols>
    <col min="1" max="1" width="3.5703125" style="482" customWidth="1"/>
    <col min="2" max="2" width="4.42578125" style="482" customWidth="1"/>
    <col min="3" max="3" width="49" style="482" customWidth="1"/>
    <col min="4" max="4" width="9.42578125" style="482" customWidth="1"/>
    <col min="5" max="5" width="9.42578125" style="483" customWidth="1"/>
    <col min="6" max="6" width="10.5703125" style="483" customWidth="1"/>
    <col min="7" max="7" width="9.42578125" style="493" customWidth="1"/>
    <col min="8" max="8" width="9.42578125" style="483" customWidth="1"/>
    <col min="9" max="9" width="20.7109375" style="482" bestFit="1" customWidth="1"/>
    <col min="10" max="10" width="18.28515625" style="482" bestFit="1" customWidth="1"/>
    <col min="11" max="14" width="8.5703125" style="482" customWidth="1"/>
    <col min="15" max="16384" width="9.140625" style="482"/>
  </cols>
  <sheetData>
    <row r="1" spans="2:18" ht="15" customHeight="1">
      <c r="F1" s="484"/>
      <c r="G1" s="485"/>
      <c r="H1" s="486"/>
    </row>
    <row r="2" spans="2:18" ht="24" customHeight="1">
      <c r="B2" s="8"/>
      <c r="C2" s="51" t="str">
        <f>IF(Indice_index!$Z$1=1,"13 - Execução Orçamental da Segurança Social por Classificação Económica","13 - Social Security Budget Execution by Economic Categories")</f>
        <v>13 - Social Security Budget Execution by Economic Categories</v>
      </c>
      <c r="D2" s="51"/>
      <c r="E2" s="51"/>
      <c r="F2" s="51"/>
      <c r="G2" s="51"/>
      <c r="H2" s="51"/>
      <c r="I2" s="487"/>
      <c r="J2" s="487"/>
      <c r="K2" s="487"/>
      <c r="L2" s="487"/>
      <c r="M2" s="487"/>
      <c r="N2" s="487"/>
      <c r="O2" s="487"/>
      <c r="P2" s="487"/>
      <c r="Q2" s="487"/>
      <c r="R2" s="487"/>
    </row>
    <row r="3" spans="2:18" ht="15" customHeight="1">
      <c r="B3" s="487"/>
      <c r="C3" s="488"/>
      <c r="D3" s="488"/>
      <c r="E3" s="489"/>
      <c r="F3" s="489"/>
      <c r="G3" s="485"/>
      <c r="H3" s="486"/>
      <c r="I3" s="490"/>
      <c r="J3" s="487"/>
      <c r="K3" s="487"/>
      <c r="L3" s="487"/>
      <c r="M3" s="487"/>
      <c r="N3" s="487"/>
      <c r="O3" s="487"/>
      <c r="P3" s="487"/>
      <c r="Q3" s="487"/>
      <c r="R3" s="487"/>
    </row>
    <row r="4" spans="2:18" ht="15" customHeight="1">
      <c r="B4" s="487"/>
      <c r="C4" s="491"/>
      <c r="D4" s="491"/>
      <c r="E4" s="492"/>
      <c r="F4" s="492"/>
      <c r="H4" s="482"/>
      <c r="I4" s="490"/>
      <c r="J4" s="487"/>
      <c r="L4" s="487"/>
      <c r="M4" s="487"/>
      <c r="N4" s="487"/>
      <c r="O4" s="487"/>
      <c r="P4" s="487"/>
      <c r="Q4" s="487"/>
      <c r="R4" s="487"/>
    </row>
    <row r="5" spans="2:18" s="495" customFormat="1" ht="15" customHeight="1">
      <c r="B5" s="494"/>
      <c r="C5" s="681" t="str">
        <f>+'5 - Conta AC + SS'!C5</f>
        <v>Period: January to May</v>
      </c>
      <c r="D5" s="681"/>
      <c r="E5" s="922"/>
      <c r="F5" s="922"/>
      <c r="G5" s="923"/>
      <c r="H5" s="924" t="str">
        <f>IF(Indice_index!$Z$1=1,"€ Milhões","€ Millions")</f>
        <v>€ Millions</v>
      </c>
      <c r="I5" s="494"/>
      <c r="J5" s="494"/>
      <c r="K5" s="494"/>
      <c r="L5" s="494"/>
      <c r="M5" s="494"/>
      <c r="N5" s="494"/>
      <c r="O5" s="494"/>
      <c r="P5" s="494"/>
      <c r="Q5" s="494"/>
      <c r="R5" s="494"/>
    </row>
    <row r="6" spans="2:18" ht="27" customHeight="1">
      <c r="B6" s="487"/>
      <c r="C6" s="925"/>
      <c r="D6" s="811" t="str">
        <f>IF(Indice_index!$Z$1=1,"CGE","Final execution")</f>
        <v>Final execution</v>
      </c>
      <c r="E6" s="1675" t="str">
        <f>IF(Indice_index!$Z$1=1,"Execução Acumulada","Accumulated Execution")</f>
        <v>Accumulated Execution</v>
      </c>
      <c r="F6" s="1675"/>
      <c r="G6" s="1676" t="str">
        <f>IF(Indice_index!$Z$1=1,"Variação Homóloga Acumulada","YOY Change Rate")</f>
        <v>YOY Change Rate</v>
      </c>
      <c r="H6" s="1677"/>
      <c r="I6" s="496"/>
      <c r="J6" s="85"/>
      <c r="K6" s="487"/>
      <c r="L6" s="497"/>
      <c r="M6" s="497"/>
      <c r="N6" s="85"/>
      <c r="O6" s="86"/>
      <c r="P6" s="487"/>
      <c r="Q6" s="487"/>
      <c r="R6" s="487"/>
    </row>
    <row r="7" spans="2:18" ht="33" customHeight="1">
      <c r="B7" s="487"/>
      <c r="C7" s="926"/>
      <c r="D7" s="813" t="s">
        <v>68</v>
      </c>
      <c r="E7" s="814" t="s">
        <v>68</v>
      </c>
      <c r="F7" s="814" t="s">
        <v>75</v>
      </c>
      <c r="G7" s="815" t="str">
        <f>IF(Indice_index!$Z$1=1,"Relativa (%)","Relative change (%)")</f>
        <v>Relative change (%)</v>
      </c>
      <c r="H7" s="816" t="str">
        <f>IF(Indice_index!$Z$1=1,"Contributo VHA (p.p.)","YOY Change Rate Contrib. (p.p.)")</f>
        <v>YOY Change Rate Contrib. (p.p.)</v>
      </c>
      <c r="I7" s="498"/>
      <c r="J7" s="496"/>
      <c r="K7" s="487"/>
      <c r="L7" s="487"/>
      <c r="M7" s="487"/>
      <c r="N7" s="487"/>
      <c r="O7" s="487"/>
      <c r="P7" s="487"/>
      <c r="Q7" s="487"/>
      <c r="R7" s="487"/>
    </row>
    <row r="8" spans="2:18" s="495" customFormat="1" ht="15" customHeight="1">
      <c r="B8" s="494"/>
      <c r="C8" s="927" t="str">
        <f>IF(Indice_index!$Z$1=1,"Receita corrente","Current revenue")</f>
        <v>Current revenue</v>
      </c>
      <c r="D8" s="928">
        <f t="shared" ref="D8" si="0">+D9+D12+D13+D14+D19</f>
        <v>33565.626426610004</v>
      </c>
      <c r="E8" s="928">
        <f t="shared" ref="E8:F8" si="1">+E9+E12+E13+E14+E19</f>
        <v>12699.590847669999</v>
      </c>
      <c r="F8" s="928">
        <f t="shared" si="1"/>
        <v>13572.586533489997</v>
      </c>
      <c r="G8" s="928">
        <f>IF(IFERROR((F8-E8)/E8*100,"")&gt;500,"-",IFERROR((F8-E8)/E8*100,""))</f>
        <v>6.8742032423837296</v>
      </c>
      <c r="H8" s="928">
        <f>IFERROR((F8-E8)/$E$29*100,"-")</f>
        <v>6.8741245350842055</v>
      </c>
      <c r="I8" s="499"/>
      <c r="J8" s="499"/>
      <c r="K8" s="499"/>
      <c r="L8" s="500"/>
      <c r="M8" s="501"/>
      <c r="N8" s="501"/>
      <c r="O8" s="500"/>
      <c r="P8" s="494"/>
      <c r="Q8" s="494"/>
      <c r="R8" s="494"/>
    </row>
    <row r="9" spans="2:18" ht="15" customHeight="1">
      <c r="B9" s="487"/>
      <c r="C9" s="929" t="str">
        <f>IF(Indice_index!$Z$1=1,"Receitas fiscais","Tax revenue")</f>
        <v>Tax revenue</v>
      </c>
      <c r="D9" s="930">
        <f t="shared" ref="D9" si="2">+D10+D11</f>
        <v>212.25092951000005</v>
      </c>
      <c r="E9" s="930">
        <f t="shared" ref="E9:F9" si="3">+E10+E11</f>
        <v>90.582493360000001</v>
      </c>
      <c r="F9" s="930">
        <f t="shared" si="3"/>
        <v>100.00442937000001</v>
      </c>
      <c r="G9" s="931">
        <f t="shared" ref="G9:G27" si="4">IF(IFERROR((F9-E9)/E9*100,"")&gt;500,"-",IFERROR((F9-E9)/E9*100,""))</f>
        <v>10.401497751397301</v>
      </c>
      <c r="H9" s="931">
        <f t="shared" ref="H9:H26" si="5">IFERROR((F9-E9)/$E$29*100,"-")</f>
        <v>7.4190013245596695E-2</v>
      </c>
      <c r="I9" s="502"/>
      <c r="J9" s="502"/>
      <c r="K9" s="502"/>
      <c r="L9" s="503"/>
      <c r="M9" s="501"/>
      <c r="N9" s="501"/>
      <c r="O9" s="503"/>
      <c r="P9" s="487"/>
      <c r="Q9" s="487"/>
      <c r="R9" s="487"/>
    </row>
    <row r="10" spans="2:18" ht="15" customHeight="1">
      <c r="B10" s="487"/>
      <c r="C10" s="822" t="str">
        <f>IF(Indice_index!$Z$1=1,"Impostos diretos","Direct taxes")</f>
        <v>Direct taxes</v>
      </c>
      <c r="D10" s="930">
        <v>0</v>
      </c>
      <c r="E10" s="930">
        <v>0</v>
      </c>
      <c r="F10" s="930">
        <v>0</v>
      </c>
      <c r="G10" s="932" t="str">
        <f t="shared" si="4"/>
        <v>-</v>
      </c>
      <c r="H10" s="932">
        <f t="shared" si="5"/>
        <v>0</v>
      </c>
      <c r="I10" s="502"/>
      <c r="J10" s="502"/>
      <c r="K10" s="502"/>
      <c r="L10" s="487"/>
      <c r="M10" s="501"/>
      <c r="N10" s="501"/>
      <c r="O10" s="487"/>
      <c r="P10" s="487"/>
      <c r="Q10" s="487"/>
      <c r="R10" s="487"/>
    </row>
    <row r="11" spans="2:18" ht="15" customHeight="1">
      <c r="B11" s="487"/>
      <c r="C11" s="822" t="str">
        <f>IF(Indice_index!$Z$1=1,"Impostos indiretos","Indirect taxes")</f>
        <v>Indirect taxes</v>
      </c>
      <c r="D11" s="930">
        <v>212.25092951000005</v>
      </c>
      <c r="E11" s="930">
        <v>90.582493360000001</v>
      </c>
      <c r="F11" s="930">
        <v>100.00442937000001</v>
      </c>
      <c r="G11" s="932">
        <f t="shared" si="4"/>
        <v>10.401497751397301</v>
      </c>
      <c r="H11" s="932">
        <f t="shared" si="5"/>
        <v>7.4190013245596695E-2</v>
      </c>
      <c r="I11" s="502"/>
      <c r="J11" s="502"/>
      <c r="K11" s="502"/>
      <c r="L11" s="487"/>
      <c r="M11" s="501"/>
      <c r="N11" s="501"/>
      <c r="O11" s="487"/>
      <c r="P11" s="487"/>
      <c r="Q11" s="487"/>
      <c r="R11" s="487"/>
    </row>
    <row r="12" spans="2:18" ht="15" customHeight="1">
      <c r="B12" s="487"/>
      <c r="C12" s="929" t="str">
        <f>IF(Indice_index!$Z$1=1,"Contribuições para Segurança Social, CGA e ADSE","Contributions to the Social Security, Public Servants Social and ADSE")</f>
        <v>Contributions to the Social Security, Public Servants Social and ADSE</v>
      </c>
      <c r="D12" s="930">
        <v>19953.700139089997</v>
      </c>
      <c r="E12" s="930">
        <v>7491.3349819800005</v>
      </c>
      <c r="F12" s="930">
        <v>8481.8651757199987</v>
      </c>
      <c r="G12" s="932">
        <f t="shared" si="4"/>
        <v>13.222345498134375</v>
      </c>
      <c r="H12" s="932">
        <f t="shared" si="5"/>
        <v>7.7996123212615451</v>
      </c>
      <c r="I12" s="502"/>
      <c r="J12" s="689"/>
      <c r="K12" s="502"/>
      <c r="L12" s="487"/>
      <c r="M12" s="501"/>
      <c r="N12" s="501"/>
      <c r="O12" s="487"/>
      <c r="P12" s="487"/>
      <c r="Q12" s="487"/>
      <c r="R12" s="487"/>
    </row>
    <row r="13" spans="2:18" ht="15" customHeight="1">
      <c r="B13" s="487"/>
      <c r="C13" s="929" t="str">
        <f>IF(Indice_index!$Z$1=1,"Taxas, Multas e Outras Penalidades","Taxes, fines and other penalties")</f>
        <v>Taxes, fines and other penalties</v>
      </c>
      <c r="D13" s="930">
        <v>76.977224400000026</v>
      </c>
      <c r="E13" s="930">
        <v>27.183150019999996</v>
      </c>
      <c r="F13" s="930">
        <v>36.729442980000002</v>
      </c>
      <c r="G13" s="932">
        <f t="shared" si="4"/>
        <v>35.118420613417953</v>
      </c>
      <c r="H13" s="932">
        <f t="shared" si="5"/>
        <v>7.5169222163794569E-2</v>
      </c>
      <c r="I13" s="502"/>
      <c r="J13" s="502"/>
      <c r="K13" s="502"/>
      <c r="L13" s="487"/>
      <c r="M13" s="501"/>
      <c r="N13" s="501"/>
      <c r="O13" s="487"/>
      <c r="P13" s="487"/>
      <c r="Q13" s="487"/>
      <c r="R13" s="487"/>
    </row>
    <row r="14" spans="2:18" ht="15" customHeight="1">
      <c r="B14" s="487"/>
      <c r="C14" s="929" t="str">
        <f>IF(Indice_index!$Z$1=1,"Transferências Correntes","Current transfers")</f>
        <v>Current transfers</v>
      </c>
      <c r="D14" s="933">
        <f t="shared" ref="D14" si="6">SUM(D15:D18)</f>
        <v>12301.049313010004</v>
      </c>
      <c r="E14" s="933">
        <f t="shared" ref="E14:F14" si="7">SUM(E15:E18)</f>
        <v>4600.4457480499996</v>
      </c>
      <c r="F14" s="933">
        <f t="shared" si="7"/>
        <v>4573.2935725500001</v>
      </c>
      <c r="G14" s="932">
        <f t="shared" si="4"/>
        <v>-0.59020749264369599</v>
      </c>
      <c r="H14" s="932">
        <f t="shared" si="5"/>
        <v>-0.21380109755083357</v>
      </c>
      <c r="I14" s="502"/>
      <c r="J14" s="502"/>
      <c r="K14" s="502"/>
      <c r="L14" s="487"/>
      <c r="M14" s="501"/>
      <c r="N14" s="501"/>
      <c r="O14" s="487"/>
      <c r="P14" s="487"/>
      <c r="Q14" s="487"/>
      <c r="R14" s="487"/>
    </row>
    <row r="15" spans="2:18" ht="15" customHeight="1">
      <c r="B15" s="487"/>
      <c r="C15" s="803" t="str">
        <f>IF(Indice_index!$Z$1=1,"Administração Central","Central Administration")</f>
        <v>Central Administration</v>
      </c>
      <c r="D15" s="930">
        <v>10871.419801170003</v>
      </c>
      <c r="E15" s="930">
        <v>3944.1292752199997</v>
      </c>
      <c r="F15" s="930">
        <v>4075.2134009599999</v>
      </c>
      <c r="G15" s="932">
        <f t="shared" si="4"/>
        <v>3.3235250822930613</v>
      </c>
      <c r="H15" s="932">
        <f t="shared" si="5"/>
        <v>1.0321799059785874</v>
      </c>
      <c r="I15" s="502"/>
      <c r="J15" s="502"/>
      <c r="K15" s="502"/>
      <c r="L15" s="487"/>
      <c r="M15" s="501"/>
      <c r="N15" s="501"/>
      <c r="O15" s="487"/>
      <c r="P15" s="487"/>
      <c r="Q15" s="487"/>
      <c r="R15" s="487"/>
    </row>
    <row r="16" spans="2:18" ht="15" customHeight="1">
      <c r="B16" s="487"/>
      <c r="C16" s="822" t="str">
        <f>IF(Indice_index!$Z$1=1,"Outros subsectores das AP","Other General Government subsectors")</f>
        <v>Other General Government subsectors</v>
      </c>
      <c r="D16" s="930">
        <v>0</v>
      </c>
      <c r="E16" s="930">
        <v>0</v>
      </c>
      <c r="F16" s="930">
        <v>0</v>
      </c>
      <c r="G16" s="932" t="str">
        <f t="shared" si="4"/>
        <v>-</v>
      </c>
      <c r="H16" s="932">
        <f t="shared" si="5"/>
        <v>0</v>
      </c>
      <c r="I16" s="502"/>
      <c r="J16" s="502"/>
      <c r="K16" s="502"/>
      <c r="L16" s="487"/>
      <c r="M16" s="501"/>
      <c r="N16" s="501"/>
      <c r="O16" s="487"/>
      <c r="P16" s="487"/>
      <c r="Q16" s="487"/>
      <c r="R16" s="487"/>
    </row>
    <row r="17" spans="2:27" ht="15" customHeight="1">
      <c r="B17" s="487"/>
      <c r="C17" s="822" t="str">
        <f>IF(Indice_index!$Z$1=1,"União Europeia","European Union")</f>
        <v>European Union</v>
      </c>
      <c r="D17" s="930">
        <v>1427.2160138600002</v>
      </c>
      <c r="E17" s="930">
        <v>655.22432448999996</v>
      </c>
      <c r="F17" s="930">
        <v>497.23211749000001</v>
      </c>
      <c r="G17" s="932">
        <f t="shared" si="4"/>
        <v>-24.11268951636902</v>
      </c>
      <c r="H17" s="932">
        <f t="shared" si="5"/>
        <v>-1.2440589617240501</v>
      </c>
      <c r="I17" s="502"/>
      <c r="J17" s="502"/>
      <c r="K17" s="502"/>
      <c r="L17" s="487"/>
      <c r="M17" s="501"/>
      <c r="N17" s="501"/>
      <c r="O17" s="487"/>
      <c r="P17" s="487"/>
      <c r="Q17" s="487"/>
      <c r="R17" s="487"/>
      <c r="S17" s="487"/>
      <c r="T17" s="487"/>
      <c r="U17" s="487"/>
      <c r="V17" s="487"/>
      <c r="W17" s="487"/>
      <c r="X17" s="487"/>
      <c r="Y17" s="487"/>
      <c r="Z17" s="487"/>
      <c r="AA17" s="487"/>
    </row>
    <row r="18" spans="2:27" ht="15" customHeight="1">
      <c r="B18" s="487"/>
      <c r="C18" s="822" t="str">
        <f>IF(Indice_index!$Z$1=1,"Outras transferências","Other transfers")</f>
        <v>Other transfers</v>
      </c>
      <c r="D18" s="930">
        <v>2.4134979799999998</v>
      </c>
      <c r="E18" s="930">
        <v>1.0921483399999998</v>
      </c>
      <c r="F18" s="930">
        <v>0.84805410000000014</v>
      </c>
      <c r="G18" s="932">
        <f t="shared" si="4"/>
        <v>-22.349916312650326</v>
      </c>
      <c r="H18" s="932">
        <f t="shared" si="5"/>
        <v>-1.9220418053734814E-3</v>
      </c>
      <c r="I18" s="502"/>
      <c r="J18" s="502"/>
      <c r="K18" s="502"/>
      <c r="L18" s="487"/>
      <c r="M18" s="501"/>
      <c r="N18" s="501"/>
      <c r="O18" s="487"/>
      <c r="P18" s="487"/>
      <c r="Q18" s="487"/>
      <c r="R18" s="487"/>
      <c r="S18" s="487"/>
      <c r="T18" s="487"/>
      <c r="U18" s="487"/>
      <c r="V18" s="487"/>
      <c r="W18" s="487"/>
      <c r="X18" s="487"/>
      <c r="Y18" s="487"/>
      <c r="Z18" s="487"/>
      <c r="AA18" s="487"/>
    </row>
    <row r="19" spans="2:27" ht="15" customHeight="1">
      <c r="B19" s="504"/>
      <c r="C19" s="929" t="str">
        <f>IF(Indice_index!$Z$1=1,"Outras receitas correntes","Other current revenue")</f>
        <v>Other current revenue</v>
      </c>
      <c r="D19" s="930">
        <v>1021.6488205999999</v>
      </c>
      <c r="E19" s="930">
        <v>490.04447426000002</v>
      </c>
      <c r="F19" s="930">
        <v>380.69391287000002</v>
      </c>
      <c r="G19" s="932">
        <f t="shared" si="4"/>
        <v>-22.314415758922017</v>
      </c>
      <c r="H19" s="932">
        <f t="shared" si="5"/>
        <v>-0.86104592403589519</v>
      </c>
      <c r="I19" s="502"/>
      <c r="J19" s="502"/>
      <c r="K19" s="502"/>
      <c r="L19" s="487"/>
      <c r="M19" s="501"/>
      <c r="N19" s="501"/>
      <c r="O19" s="487"/>
      <c r="P19" s="487"/>
      <c r="Q19" s="487"/>
      <c r="R19" s="487"/>
      <c r="S19" s="487"/>
      <c r="T19" s="487"/>
      <c r="U19" s="487"/>
      <c r="V19" s="487"/>
      <c r="W19" s="487"/>
      <c r="X19" s="487"/>
      <c r="Y19" s="487"/>
      <c r="Z19" s="487"/>
      <c r="AA19" s="487"/>
    </row>
    <row r="20" spans="2:27" s="495" customFormat="1" ht="15" customHeight="1">
      <c r="B20" s="505"/>
      <c r="C20" s="927" t="str">
        <f>IF(Indice_index!$Z$1=1,"Receita de capital","Capital revenue")</f>
        <v>Capital revenue</v>
      </c>
      <c r="D20" s="928">
        <f t="shared" ref="D20" si="8">+D21+D22+D27</f>
        <v>0.91545309000000008</v>
      </c>
      <c r="E20" s="928">
        <f t="shared" ref="E20:F20" si="9">+E21+E22+E27</f>
        <v>0.14540767999999998</v>
      </c>
      <c r="F20" s="928">
        <f t="shared" si="9"/>
        <v>0.31233313000000001</v>
      </c>
      <c r="G20" s="928">
        <f t="shared" si="4"/>
        <v>114.79823486627394</v>
      </c>
      <c r="H20" s="928">
        <f t="shared" si="5"/>
        <v>1.3144009185992315E-3</v>
      </c>
      <c r="I20" s="499"/>
      <c r="J20" s="499"/>
      <c r="K20" s="499"/>
      <c r="L20" s="494"/>
      <c r="M20" s="501"/>
      <c r="N20" s="501"/>
      <c r="O20" s="494"/>
      <c r="P20" s="494"/>
      <c r="Q20" s="494"/>
      <c r="R20" s="494"/>
      <c r="S20" s="494"/>
      <c r="T20" s="494"/>
      <c r="U20" s="494"/>
      <c r="V20" s="494"/>
      <c r="W20" s="494"/>
      <c r="X20" s="494"/>
      <c r="Y20" s="494"/>
      <c r="Z20" s="494"/>
      <c r="AA20" s="494"/>
    </row>
    <row r="21" spans="2:27" ht="15" customHeight="1">
      <c r="B21" s="504"/>
      <c r="C21" s="929" t="str">
        <f>IF(Indice_index!$Z$1=1,"Venda de bens de investimento","Sale of investment goods")</f>
        <v>Sale of investment goods</v>
      </c>
      <c r="D21" s="930">
        <v>0.61795309000000009</v>
      </c>
      <c r="E21" s="930">
        <v>0.14540767999999998</v>
      </c>
      <c r="F21" s="930">
        <v>0.30825182000000001</v>
      </c>
      <c r="G21" s="932">
        <f t="shared" si="4"/>
        <v>111.99142988871019</v>
      </c>
      <c r="H21" s="932">
        <f t="shared" si="5"/>
        <v>1.2822639519887583E-3</v>
      </c>
      <c r="I21" s="502"/>
      <c r="J21" s="502"/>
      <c r="K21" s="502"/>
      <c r="L21" s="487"/>
      <c r="M21" s="501"/>
      <c r="N21" s="501"/>
      <c r="O21" s="487"/>
      <c r="P21" s="487"/>
      <c r="Q21" s="487"/>
      <c r="R21" s="487"/>
      <c r="S21" s="487"/>
      <c r="T21" s="487"/>
      <c r="U21" s="487"/>
      <c r="V21" s="487"/>
      <c r="W21" s="487"/>
      <c r="X21" s="487"/>
      <c r="Y21" s="487"/>
      <c r="Z21" s="487"/>
      <c r="AA21" s="487"/>
    </row>
    <row r="22" spans="2:27" ht="15" customHeight="1">
      <c r="B22" s="506"/>
      <c r="C22" s="929" t="str">
        <f>IF(Indice_index!$Z$1=1,"Transferências de capital","Capital transfers")</f>
        <v>Capital transfers</v>
      </c>
      <c r="D22" s="933">
        <f t="shared" ref="D22" si="10">+SUM(D23:D26)</f>
        <v>0.29749999999999999</v>
      </c>
      <c r="E22" s="933">
        <f t="shared" ref="E22:F22" si="11">+SUM(E23:E26)</f>
        <v>0</v>
      </c>
      <c r="F22" s="933">
        <f t="shared" si="11"/>
        <v>0</v>
      </c>
      <c r="G22" s="932" t="str">
        <f t="shared" si="4"/>
        <v>-</v>
      </c>
      <c r="H22" s="932">
        <f t="shared" si="5"/>
        <v>0</v>
      </c>
      <c r="I22" s="502"/>
      <c r="J22" s="502"/>
      <c r="K22" s="502"/>
      <c r="L22" s="487"/>
      <c r="M22" s="501"/>
      <c r="N22" s="501"/>
      <c r="O22" s="487"/>
      <c r="P22" s="487"/>
      <c r="Q22" s="487"/>
      <c r="R22" s="487"/>
      <c r="S22" s="487"/>
      <c r="T22" s="487"/>
      <c r="U22" s="487"/>
      <c r="V22" s="487"/>
      <c r="W22" s="487"/>
      <c r="X22" s="487"/>
      <c r="Y22" s="487"/>
      <c r="Z22" s="487"/>
      <c r="AA22" s="487"/>
    </row>
    <row r="23" spans="2:27" ht="15" customHeight="1">
      <c r="B23" s="506"/>
      <c r="C23" s="803" t="str">
        <f>IF(Indice_index!$Z$1=1,"Administração Central","Central Administration")</f>
        <v>Central Administration</v>
      </c>
      <c r="D23" s="930">
        <v>0.29749999999999999</v>
      </c>
      <c r="E23" s="930">
        <v>0</v>
      </c>
      <c r="F23" s="930">
        <v>0</v>
      </c>
      <c r="G23" s="932" t="str">
        <f t="shared" si="4"/>
        <v>-</v>
      </c>
      <c r="H23" s="932">
        <f t="shared" si="5"/>
        <v>0</v>
      </c>
      <c r="I23" s="502"/>
      <c r="J23" s="502"/>
      <c r="K23" s="502"/>
      <c r="L23" s="487"/>
      <c r="M23" s="501"/>
      <c r="N23" s="501"/>
      <c r="O23" s="487"/>
      <c r="P23" s="487"/>
      <c r="Q23" s="487"/>
      <c r="R23" s="487"/>
      <c r="S23" s="487"/>
      <c r="T23" s="487"/>
      <c r="U23" s="487"/>
      <c r="V23" s="487"/>
      <c r="W23" s="487"/>
      <c r="X23" s="487"/>
      <c r="Y23" s="487"/>
      <c r="Z23" s="487"/>
      <c r="AA23" s="487"/>
    </row>
    <row r="24" spans="2:27" ht="15" customHeight="1">
      <c r="B24" s="506"/>
      <c r="C24" s="822" t="str">
        <f>IF(Indice_index!$Z$1=1,"Outros subsectores das AP","Other General Government subsectors")</f>
        <v>Other General Government subsectors</v>
      </c>
      <c r="D24" s="930">
        <v>0</v>
      </c>
      <c r="E24" s="930">
        <v>0</v>
      </c>
      <c r="F24" s="930">
        <v>0</v>
      </c>
      <c r="G24" s="932" t="str">
        <f t="shared" si="4"/>
        <v>-</v>
      </c>
      <c r="H24" s="932">
        <f t="shared" si="5"/>
        <v>0</v>
      </c>
      <c r="I24" s="502"/>
      <c r="J24" s="502"/>
      <c r="K24" s="502"/>
      <c r="L24" s="487"/>
      <c r="M24" s="501"/>
      <c r="N24" s="501"/>
      <c r="O24" s="487"/>
      <c r="P24" s="487"/>
      <c r="Q24" s="487"/>
      <c r="R24" s="487"/>
      <c r="S24" s="487"/>
      <c r="T24" s="487"/>
      <c r="U24" s="487"/>
      <c r="V24" s="487"/>
      <c r="W24" s="487"/>
      <c r="X24" s="487"/>
      <c r="Y24" s="487"/>
      <c r="Z24" s="487"/>
      <c r="AA24" s="487"/>
    </row>
    <row r="25" spans="2:27" ht="15" customHeight="1">
      <c r="B25" s="487"/>
      <c r="C25" s="822" t="str">
        <f>IF(Indice_index!$Z$1=1,"União Europeia","European Union")</f>
        <v>European Union</v>
      </c>
      <c r="D25" s="930">
        <v>0</v>
      </c>
      <c r="E25" s="930">
        <v>0</v>
      </c>
      <c r="F25" s="930">
        <v>0</v>
      </c>
      <c r="G25" s="932" t="str">
        <f t="shared" si="4"/>
        <v>-</v>
      </c>
      <c r="H25" s="932">
        <f t="shared" si="5"/>
        <v>0</v>
      </c>
      <c r="I25" s="502"/>
      <c r="J25" s="502"/>
      <c r="K25" s="502"/>
      <c r="L25" s="487"/>
      <c r="M25" s="501"/>
      <c r="N25" s="501"/>
      <c r="O25" s="487"/>
      <c r="P25" s="487"/>
      <c r="Q25" s="487"/>
      <c r="R25" s="487"/>
      <c r="S25" s="487"/>
      <c r="T25" s="487"/>
      <c r="U25" s="487"/>
      <c r="V25" s="487"/>
      <c r="W25" s="487"/>
      <c r="X25" s="487"/>
      <c r="Y25" s="487"/>
      <c r="Z25" s="487"/>
      <c r="AA25" s="487"/>
    </row>
    <row r="26" spans="2:27" ht="15" customHeight="1">
      <c r="B26" s="487"/>
      <c r="C26" s="822" t="str">
        <f>IF(Indice_index!$Z$1=1,"Outras transferências","Other transfers")</f>
        <v>Other transfers</v>
      </c>
      <c r="D26" s="930">
        <v>0</v>
      </c>
      <c r="E26" s="930">
        <v>0</v>
      </c>
      <c r="F26" s="930">
        <v>0</v>
      </c>
      <c r="G26" s="932" t="str">
        <f t="shared" si="4"/>
        <v>-</v>
      </c>
      <c r="H26" s="932">
        <f t="shared" si="5"/>
        <v>0</v>
      </c>
      <c r="I26" s="502"/>
      <c r="J26" s="502"/>
      <c r="K26" s="502"/>
      <c r="L26" s="487"/>
      <c r="M26" s="501"/>
      <c r="N26" s="501"/>
      <c r="O26" s="487"/>
      <c r="P26" s="487"/>
      <c r="Q26" s="487"/>
      <c r="R26" s="487"/>
      <c r="S26" s="487"/>
      <c r="T26" s="487"/>
      <c r="U26" s="487"/>
      <c r="V26" s="487"/>
      <c r="W26" s="487"/>
      <c r="X26" s="487"/>
      <c r="Y26" s="487"/>
      <c r="Z26" s="487"/>
      <c r="AA26" s="487"/>
    </row>
    <row r="27" spans="2:27" ht="15" customHeight="1">
      <c r="B27" s="487"/>
      <c r="C27" s="929" t="str">
        <f>IF(Indice_index!$Z$1=1,"Outras Receitas de Capital","Other capital revenue")</f>
        <v>Other capital revenue</v>
      </c>
      <c r="D27" s="930">
        <v>0</v>
      </c>
      <c r="E27" s="930">
        <v>0</v>
      </c>
      <c r="F27" s="930">
        <v>4.0813100000000003E-3</v>
      </c>
      <c r="G27" s="932" t="str">
        <f t="shared" si="4"/>
        <v>-</v>
      </c>
      <c r="H27" s="932">
        <f>IFERROR((F27-E27)/$E$29*100,"-")</f>
        <v>3.2136966610473289E-5</v>
      </c>
      <c r="I27" s="502"/>
      <c r="J27" s="502"/>
      <c r="K27" s="502"/>
      <c r="L27" s="487"/>
      <c r="M27" s="501"/>
      <c r="N27" s="501"/>
      <c r="O27" s="487"/>
      <c r="P27" s="487"/>
      <c r="Q27" s="487"/>
      <c r="R27" s="487"/>
      <c r="S27" s="487"/>
      <c r="T27" s="487"/>
      <c r="U27" s="487"/>
      <c r="V27" s="487"/>
      <c r="W27" s="487"/>
      <c r="X27" s="487"/>
      <c r="Y27" s="487"/>
      <c r="Z27" s="487"/>
      <c r="AA27" s="487"/>
    </row>
    <row r="28" spans="2:27" ht="4.5" customHeight="1">
      <c r="B28" s="487"/>
      <c r="C28" s="822"/>
      <c r="D28" s="932"/>
      <c r="E28" s="932"/>
      <c r="F28" s="932"/>
      <c r="G28" s="932"/>
      <c r="H28" s="932"/>
      <c r="I28" s="502"/>
      <c r="J28" s="502"/>
      <c r="K28" s="502"/>
      <c r="L28" s="487"/>
      <c r="M28" s="501"/>
      <c r="N28" s="501"/>
      <c r="O28" s="487"/>
      <c r="P28" s="487"/>
      <c r="Q28" s="487"/>
      <c r="R28" s="487"/>
      <c r="S28" s="487"/>
      <c r="T28" s="487"/>
      <c r="U28" s="487"/>
      <c r="V28" s="487"/>
      <c r="W28" s="487"/>
      <c r="X28" s="487"/>
      <c r="Y28" s="487"/>
      <c r="Z28" s="487"/>
      <c r="AA28" s="487"/>
    </row>
    <row r="29" spans="2:27" s="495" customFormat="1" ht="15" customHeight="1">
      <c r="B29" s="494"/>
      <c r="C29" s="934" t="str">
        <f>IF(Indice_index!$Z$1=1,"Receita efetiva","Effective revenue")</f>
        <v>Effective revenue</v>
      </c>
      <c r="D29" s="935">
        <f t="shared" ref="D29:F29" si="12">+D8+D20</f>
        <v>33566.541879700002</v>
      </c>
      <c r="E29" s="935">
        <f t="shared" ref="E29" si="13">+E8+E20</f>
        <v>12699.736255349999</v>
      </c>
      <c r="F29" s="935">
        <f t="shared" si="12"/>
        <v>13572.898866619997</v>
      </c>
      <c r="G29" s="935">
        <f t="shared" ref="G29" si="14">IF(IFERROR((F29-E29)/E29*100,"")&gt;500,"-",IFERROR((F29-E29)/E29*100,""))</f>
        <v>6.8754389360028005</v>
      </c>
      <c r="H29" s="935"/>
      <c r="I29" s="499"/>
      <c r="J29" s="499"/>
      <c r="K29" s="499"/>
      <c r="L29" s="494"/>
      <c r="M29" s="501"/>
      <c r="N29" s="501"/>
      <c r="O29" s="494"/>
      <c r="P29" s="494"/>
      <c r="Q29" s="494"/>
      <c r="R29" s="494"/>
      <c r="S29" s="494"/>
      <c r="T29" s="494"/>
      <c r="U29" s="494"/>
      <c r="V29" s="494"/>
      <c r="W29" s="494"/>
      <c r="X29" s="494"/>
      <c r="Y29" s="494"/>
      <c r="Z29" s="494"/>
      <c r="AA29" s="494"/>
    </row>
    <row r="30" spans="2:27" ht="4.5" customHeight="1">
      <c r="B30" s="487"/>
      <c r="C30" s="822"/>
      <c r="D30" s="932"/>
      <c r="E30" s="932"/>
      <c r="F30" s="932"/>
      <c r="G30" s="932"/>
      <c r="H30" s="932"/>
      <c r="I30" s="502"/>
      <c r="J30" s="502"/>
      <c r="K30" s="502"/>
      <c r="L30" s="487"/>
      <c r="M30" s="501"/>
      <c r="N30" s="501"/>
      <c r="O30" s="487"/>
      <c r="P30" s="487"/>
      <c r="Q30" s="487"/>
      <c r="R30" s="487"/>
      <c r="S30" s="487"/>
      <c r="T30" s="487"/>
      <c r="U30" s="487"/>
      <c r="V30" s="487"/>
      <c r="W30" s="487"/>
      <c r="X30" s="487"/>
      <c r="Y30" s="487"/>
      <c r="Z30" s="487"/>
      <c r="AA30" s="487"/>
    </row>
    <row r="31" spans="2:27" s="495" customFormat="1" ht="15" customHeight="1">
      <c r="B31" s="494"/>
      <c r="C31" s="927" t="str">
        <f>IF(Indice_index!$Z$1=1,"Despesa corrente","Current Expenditure")</f>
        <v>Current Expenditure</v>
      </c>
      <c r="D31" s="928">
        <f t="shared" ref="D31" si="15">+D32+D36+D37+D38+D43+D44</f>
        <v>31195.450149439996</v>
      </c>
      <c r="E31" s="928">
        <f t="shared" ref="E31:F31" si="16">+E32+E36+E37+E38+E43+E44</f>
        <v>12389.677553359998</v>
      </c>
      <c r="F31" s="928">
        <f t="shared" si="16"/>
        <v>11525.117250579999</v>
      </c>
      <c r="G31" s="928">
        <f t="shared" ref="G31:G52" si="17">IF(IFERROR((F31-E31)/E31*100,"")&gt;500,"-",IFERROR((F31-E31)/E31*100,""))</f>
        <v>-6.9780694376952193</v>
      </c>
      <c r="H31" s="928">
        <f>IFERROR((F31-E31)/$E$54*100,"-")</f>
        <v>-6.9718833679382382</v>
      </c>
      <c r="I31" s="499"/>
      <c r="J31" s="499"/>
      <c r="K31" s="499"/>
      <c r="L31" s="494"/>
      <c r="M31" s="501"/>
      <c r="N31" s="501"/>
      <c r="O31" s="494"/>
      <c r="P31" s="494"/>
      <c r="Q31" s="494"/>
      <c r="R31" s="494"/>
      <c r="S31" s="494"/>
      <c r="T31" s="494"/>
      <c r="U31" s="494"/>
      <c r="V31" s="494"/>
      <c r="W31" s="494"/>
      <c r="X31" s="494"/>
      <c r="Y31" s="494"/>
      <c r="Z31" s="494"/>
      <c r="AA31" s="494"/>
    </row>
    <row r="32" spans="2:27" ht="15" customHeight="1">
      <c r="B32" s="487"/>
      <c r="C32" s="929" t="str">
        <f>IF(Indice_index!$Z$1=1,"Despesas com o pessoal","Employees")</f>
        <v>Employees</v>
      </c>
      <c r="D32" s="932">
        <f t="shared" ref="D32" si="18">+D33+D34+D35</f>
        <v>292.95986727999991</v>
      </c>
      <c r="E32" s="932">
        <f t="shared" ref="E32:F32" si="19">+E33+E34+E35</f>
        <v>103.42591566000004</v>
      </c>
      <c r="F32" s="932">
        <f t="shared" si="19"/>
        <v>108.50757562999999</v>
      </c>
      <c r="G32" s="932">
        <f t="shared" si="17"/>
        <v>4.9133333145488196</v>
      </c>
      <c r="H32" s="932">
        <f t="shared" ref="H32:H52" si="20">IFERROR((F32-E32)/$E$54*100,"-")</f>
        <v>4.0978912069451749E-2</v>
      </c>
      <c r="I32" s="502"/>
      <c r="J32" s="502"/>
      <c r="K32" s="502"/>
      <c r="L32" s="487"/>
      <c r="M32" s="501"/>
      <c r="N32" s="501"/>
      <c r="O32" s="487"/>
      <c r="P32" s="487"/>
      <c r="Q32" s="487"/>
      <c r="R32" s="487"/>
      <c r="S32" s="487"/>
      <c r="T32" s="487"/>
      <c r="U32" s="487"/>
      <c r="V32" s="487"/>
      <c r="W32" s="487"/>
      <c r="X32" s="487"/>
      <c r="Y32" s="487"/>
      <c r="Z32" s="487"/>
      <c r="AA32" s="487"/>
    </row>
    <row r="33" spans="2:27" ht="15" customHeight="1">
      <c r="B33" s="487"/>
      <c r="C33" s="803" t="str">
        <f>IF(Indice_index!$Z$1=1,"Remunerações Certas e Permanentes","Certain and permanent wages")</f>
        <v>Certain and permanent wages</v>
      </c>
      <c r="D33" s="930">
        <v>233.69650922999992</v>
      </c>
      <c r="E33" s="930">
        <v>82.741872030000053</v>
      </c>
      <c r="F33" s="930">
        <v>87.105219059999996</v>
      </c>
      <c r="G33" s="932">
        <f t="shared" si="17"/>
        <v>5.2734448991169875</v>
      </c>
      <c r="H33" s="932">
        <f t="shared" si="20"/>
        <v>3.5186379121480843E-2</v>
      </c>
      <c r="I33" s="502"/>
      <c r="J33" s="502"/>
      <c r="K33" s="502"/>
      <c r="L33" s="487"/>
      <c r="M33" s="501"/>
      <c r="N33" s="501"/>
      <c r="O33" s="487"/>
      <c r="P33" s="487"/>
      <c r="Q33" s="487"/>
      <c r="R33" s="487"/>
      <c r="S33" s="487"/>
      <c r="T33" s="487"/>
      <c r="U33" s="487"/>
      <c r="V33" s="487"/>
      <c r="W33" s="487"/>
      <c r="X33" s="487"/>
      <c r="Y33" s="487"/>
      <c r="Z33" s="487"/>
      <c r="AA33" s="487"/>
    </row>
    <row r="34" spans="2:27" ht="15" customHeight="1">
      <c r="B34" s="487"/>
      <c r="C34" s="803" t="str">
        <f>IF(Indice_index!$Z$1=1,"Abonos Variáveis ou Eventuais","Variable or contingent bonuses")</f>
        <v>Variable or contingent bonuses</v>
      </c>
      <c r="D34" s="930">
        <v>5.1169230200000007</v>
      </c>
      <c r="E34" s="930">
        <v>1.7485909699999997</v>
      </c>
      <c r="F34" s="930">
        <v>1.93191427</v>
      </c>
      <c r="G34" s="932">
        <f t="shared" si="17"/>
        <v>10.484058487388866</v>
      </c>
      <c r="H34" s="932">
        <f t="shared" si="20"/>
        <v>1.4783337404178608E-3</v>
      </c>
      <c r="I34" s="502"/>
      <c r="J34" s="502"/>
      <c r="K34" s="502"/>
      <c r="L34" s="487"/>
      <c r="M34" s="501"/>
      <c r="N34" s="501"/>
      <c r="O34" s="487"/>
      <c r="P34" s="487"/>
      <c r="Q34" s="487"/>
      <c r="R34" s="487"/>
      <c r="S34" s="487"/>
      <c r="T34" s="487"/>
      <c r="U34" s="487"/>
      <c r="V34" s="487"/>
      <c r="W34" s="487"/>
      <c r="X34" s="487"/>
      <c r="Y34" s="487"/>
      <c r="Z34" s="487"/>
      <c r="AA34" s="487"/>
    </row>
    <row r="35" spans="2:27" ht="15" customHeight="1">
      <c r="B35" s="487"/>
      <c r="C35" s="803" t="str">
        <f>IF(Indice_index!$Z$1=1,"Segurança social","Social security")</f>
        <v>Social security</v>
      </c>
      <c r="D35" s="930">
        <v>54.146435030000006</v>
      </c>
      <c r="E35" s="930">
        <v>18.935452659999999</v>
      </c>
      <c r="F35" s="930">
        <v>19.470442300000006</v>
      </c>
      <c r="G35" s="932">
        <f t="shared" si="17"/>
        <v>2.8253332497835641</v>
      </c>
      <c r="H35" s="932">
        <f t="shared" si="20"/>
        <v>4.3141992075530653E-3</v>
      </c>
      <c r="I35" s="502"/>
      <c r="J35" s="502"/>
      <c r="K35" s="502"/>
      <c r="L35" s="487"/>
      <c r="M35" s="501"/>
      <c r="N35" s="501"/>
      <c r="O35" s="487"/>
      <c r="P35" s="487"/>
      <c r="Q35" s="487"/>
      <c r="R35" s="487"/>
      <c r="S35" s="487"/>
      <c r="T35" s="487"/>
      <c r="U35" s="487"/>
      <c r="V35" s="487"/>
      <c r="W35" s="487"/>
      <c r="X35" s="487"/>
      <c r="Y35" s="487"/>
      <c r="Z35" s="487"/>
      <c r="AA35" s="487"/>
    </row>
    <row r="36" spans="2:27" ht="15" customHeight="1">
      <c r="B36" s="487"/>
      <c r="C36" s="929" t="str">
        <f>IF(Indice_index!$Z$1=1,"Aquisição de bens e serviços","Purchase of goods and services")</f>
        <v>Purchase of goods and services</v>
      </c>
      <c r="D36" s="930">
        <v>99.981533720000002</v>
      </c>
      <c r="E36" s="930">
        <v>33.014878339999996</v>
      </c>
      <c r="F36" s="930">
        <v>28.06863804999999</v>
      </c>
      <c r="G36" s="932">
        <f t="shared" si="17"/>
        <v>-14.98185223965301</v>
      </c>
      <c r="H36" s="932">
        <f t="shared" si="20"/>
        <v>-3.9886876948654219E-2</v>
      </c>
      <c r="I36" s="502"/>
      <c r="J36" s="502"/>
      <c r="K36" s="502"/>
      <c r="L36" s="487"/>
      <c r="M36" s="501"/>
      <c r="N36" s="501"/>
      <c r="O36" s="487"/>
      <c r="P36" s="487"/>
      <c r="Q36" s="487"/>
      <c r="R36" s="487"/>
      <c r="S36" s="487"/>
      <c r="T36" s="487"/>
      <c r="U36" s="487"/>
      <c r="V36" s="507"/>
      <c r="W36" s="487"/>
      <c r="X36" s="487"/>
      <c r="Y36" s="507"/>
      <c r="Z36" s="487"/>
      <c r="AA36" s="507"/>
    </row>
    <row r="37" spans="2:27" ht="15" customHeight="1">
      <c r="C37" s="929" t="str">
        <f>IF(Indice_index!$Z$1=1,"Juros e outros encargos","Interests")</f>
        <v>Interests</v>
      </c>
      <c r="D37" s="930">
        <v>6.5070547399999992</v>
      </c>
      <c r="E37" s="930">
        <v>2.6931131699999993</v>
      </c>
      <c r="F37" s="930">
        <v>2.7199359699999999</v>
      </c>
      <c r="G37" s="932">
        <f t="shared" si="17"/>
        <v>0.99597745459766918</v>
      </c>
      <c r="H37" s="932">
        <f t="shared" si="20"/>
        <v>2.1630120258843806E-4</v>
      </c>
      <c r="I37" s="502"/>
      <c r="J37" s="502"/>
      <c r="K37" s="502"/>
      <c r="L37" s="487"/>
      <c r="M37" s="501"/>
      <c r="N37" s="501"/>
      <c r="O37" s="487"/>
      <c r="P37" s="487"/>
      <c r="Q37" s="487"/>
      <c r="R37" s="487"/>
      <c r="S37" s="487"/>
      <c r="T37" s="487"/>
      <c r="U37" s="487"/>
    </row>
    <row r="38" spans="2:27" ht="15" customHeight="1">
      <c r="C38" s="929" t="str">
        <f>IF(Indice_index!$Z$1=1,"Transferências correntes","Current transfers")</f>
        <v>Current transfers</v>
      </c>
      <c r="D38" s="933">
        <f t="shared" ref="D38" si="21">+D39+D40+D41+D42</f>
        <v>29805.776706309996</v>
      </c>
      <c r="E38" s="933">
        <f t="shared" ref="E38:F38" si="22">+E39+E40+E41+E42</f>
        <v>11773.123305359997</v>
      </c>
      <c r="F38" s="933">
        <f t="shared" si="22"/>
        <v>11010.05508932</v>
      </c>
      <c r="G38" s="932">
        <f t="shared" si="17"/>
        <v>-6.4814424876752321</v>
      </c>
      <c r="H38" s="932">
        <f t="shared" si="20"/>
        <v>-6.153443070315622</v>
      </c>
      <c r="I38" s="502"/>
      <c r="J38" s="502"/>
      <c r="K38" s="502"/>
      <c r="L38" s="487"/>
      <c r="M38" s="501"/>
      <c r="N38" s="501"/>
      <c r="O38" s="487"/>
      <c r="P38" s="487"/>
      <c r="Q38" s="487"/>
      <c r="R38" s="487"/>
      <c r="S38" s="487"/>
      <c r="T38" s="487"/>
      <c r="U38" s="487"/>
    </row>
    <row r="39" spans="2:27" ht="15" customHeight="1">
      <c r="C39" s="803" t="str">
        <f>IF(Indice_index!$Z$1=1,"Administração Central","Central Administration")</f>
        <v>Central Administration</v>
      </c>
      <c r="D39" s="930">
        <v>2005.25270972</v>
      </c>
      <c r="E39" s="930">
        <v>710.52210120000007</v>
      </c>
      <c r="F39" s="930">
        <v>751.78322581999998</v>
      </c>
      <c r="G39" s="932">
        <f t="shared" si="17"/>
        <v>5.8071556887975824</v>
      </c>
      <c r="H39" s="932">
        <f t="shared" si="20"/>
        <v>0.33273300607905199</v>
      </c>
      <c r="I39" s="502"/>
      <c r="J39" s="502"/>
      <c r="K39" s="502"/>
      <c r="L39" s="487"/>
      <c r="M39" s="501"/>
      <c r="N39" s="501"/>
      <c r="O39" s="487"/>
      <c r="P39" s="487"/>
      <c r="Q39" s="487"/>
      <c r="R39" s="487"/>
      <c r="S39" s="487"/>
      <c r="T39" s="487"/>
      <c r="U39" s="487"/>
    </row>
    <row r="40" spans="2:27" ht="15" customHeight="1">
      <c r="C40" s="822" t="str">
        <f>IF(Indice_index!$Z$1=1,"Outros subsectores das AP","Other General Government subsectors")</f>
        <v>Other General Government subsectors</v>
      </c>
      <c r="D40" s="930">
        <v>92.915999979999995</v>
      </c>
      <c r="E40" s="930">
        <v>39.629949120000006</v>
      </c>
      <c r="F40" s="930">
        <v>31.79238488</v>
      </c>
      <c r="G40" s="932">
        <f t="shared" si="17"/>
        <v>-19.776871820520785</v>
      </c>
      <c r="H40" s="932">
        <f t="shared" si="20"/>
        <v>-6.3202744324831917E-2</v>
      </c>
      <c r="I40" s="502"/>
      <c r="J40" s="502"/>
      <c r="K40" s="502"/>
      <c r="L40" s="487"/>
      <c r="M40" s="501"/>
      <c r="N40" s="501"/>
      <c r="O40" s="487"/>
      <c r="P40" s="487"/>
      <c r="Q40" s="487"/>
      <c r="R40" s="487"/>
      <c r="S40" s="487"/>
      <c r="T40" s="487"/>
      <c r="U40" s="487"/>
    </row>
    <row r="41" spans="2:27" ht="15" customHeight="1">
      <c r="C41" s="822" t="str">
        <f>IF(Indice_index!$Z$1=1,"União Europeia","European Union")</f>
        <v>European Union</v>
      </c>
      <c r="D41" s="930">
        <v>0</v>
      </c>
      <c r="E41" s="930">
        <v>0</v>
      </c>
      <c r="F41" s="930">
        <v>0</v>
      </c>
      <c r="G41" s="932" t="str">
        <f t="shared" si="17"/>
        <v>-</v>
      </c>
      <c r="H41" s="932">
        <f t="shared" si="20"/>
        <v>0</v>
      </c>
      <c r="I41" s="502"/>
      <c r="J41" s="502"/>
      <c r="K41" s="502"/>
      <c r="L41" s="487"/>
      <c r="M41" s="501"/>
      <c r="N41" s="501"/>
      <c r="O41" s="487"/>
      <c r="P41" s="487"/>
      <c r="Q41" s="487"/>
      <c r="R41" s="487"/>
      <c r="S41" s="487"/>
      <c r="T41" s="487"/>
      <c r="U41" s="487"/>
    </row>
    <row r="42" spans="2:27" ht="15" customHeight="1">
      <c r="C42" s="822" t="str">
        <f>IF(Indice_index!$Z$1=1,"Outras transferências","Other transfers")</f>
        <v>Other transfers</v>
      </c>
      <c r="D42" s="930">
        <v>27707.607996609997</v>
      </c>
      <c r="E42" s="930">
        <v>11022.971255039996</v>
      </c>
      <c r="F42" s="930">
        <v>10226.47947862</v>
      </c>
      <c r="G42" s="932">
        <f t="shared" si="17"/>
        <v>-7.2257448376799411</v>
      </c>
      <c r="H42" s="932">
        <f t="shared" si="20"/>
        <v>-6.4229733320698337</v>
      </c>
      <c r="I42" s="502"/>
      <c r="J42" s="502"/>
      <c r="K42" s="502"/>
      <c r="L42" s="487"/>
      <c r="M42" s="501"/>
      <c r="N42" s="501"/>
      <c r="O42" s="487"/>
      <c r="P42" s="487"/>
      <c r="Q42" s="487"/>
      <c r="R42" s="487"/>
      <c r="S42" s="487"/>
      <c r="T42" s="487"/>
      <c r="U42" s="487"/>
    </row>
    <row r="43" spans="2:27" ht="15" customHeight="1">
      <c r="C43" s="929" t="str">
        <f>IF(Indice_index!$Z$1=1,"Subsídios","Subsidies")</f>
        <v>Subsidies</v>
      </c>
      <c r="D43" s="930">
        <v>980.28050590999999</v>
      </c>
      <c r="E43" s="930">
        <v>473.06873936</v>
      </c>
      <c r="F43" s="930">
        <v>371.08600361000009</v>
      </c>
      <c r="G43" s="932">
        <f t="shared" si="17"/>
        <v>-21.557699180877854</v>
      </c>
      <c r="H43" s="932">
        <f t="shared" si="20"/>
        <v>-0.82239693044661222</v>
      </c>
      <c r="I43" s="502"/>
      <c r="J43" s="502"/>
      <c r="K43" s="502"/>
      <c r="L43" s="487"/>
      <c r="M43" s="501"/>
      <c r="N43" s="501"/>
      <c r="O43" s="487"/>
      <c r="P43" s="487"/>
      <c r="Q43" s="487"/>
      <c r="R43" s="487"/>
      <c r="S43" s="487"/>
      <c r="T43" s="487"/>
      <c r="U43" s="487"/>
    </row>
    <row r="44" spans="2:27" ht="15" customHeight="1">
      <c r="C44" s="929" t="str">
        <f>IF(Indice_index!$Z$1=1,"Outras despesas correntes","Other current expenditure")</f>
        <v>Other current expenditure</v>
      </c>
      <c r="D44" s="930">
        <v>9.9444814800000003</v>
      </c>
      <c r="E44" s="930">
        <v>4.3516014700000003</v>
      </c>
      <c r="F44" s="930">
        <v>4.6800079999999999</v>
      </c>
      <c r="G44" s="932">
        <f t="shared" si="17"/>
        <v>7.5467970186157611</v>
      </c>
      <c r="H44" s="932">
        <f t="shared" si="20"/>
        <v>2.648296500622393E-3</v>
      </c>
      <c r="I44" s="502"/>
      <c r="J44" s="502"/>
      <c r="K44" s="502"/>
      <c r="L44" s="487"/>
      <c r="M44" s="501"/>
      <c r="N44" s="501"/>
      <c r="O44" s="487"/>
      <c r="P44" s="487"/>
      <c r="Q44" s="487"/>
      <c r="R44" s="487"/>
      <c r="S44" s="487"/>
      <c r="T44" s="487"/>
      <c r="U44" s="487"/>
    </row>
    <row r="45" spans="2:27" s="495" customFormat="1" ht="15" customHeight="1">
      <c r="C45" s="927" t="str">
        <f>IF(Indice_index!$Z$1=1,"Despesa de capital","Capital expenditure")</f>
        <v>Capital expenditure</v>
      </c>
      <c r="D45" s="928">
        <f t="shared" ref="D45" si="23">+D46+D47+D52</f>
        <v>42.826696200000008</v>
      </c>
      <c r="E45" s="928">
        <f t="shared" ref="E45:F45" si="24">+E46+E47+E52</f>
        <v>10.99321454</v>
      </c>
      <c r="F45" s="928">
        <f t="shared" si="24"/>
        <v>4.4604064099999992</v>
      </c>
      <c r="G45" s="928">
        <f t="shared" si="17"/>
        <v>-59.425822230883171</v>
      </c>
      <c r="H45" s="928">
        <f t="shared" si="20"/>
        <v>-5.268108679177768E-2</v>
      </c>
      <c r="I45" s="499"/>
      <c r="J45" s="499"/>
      <c r="K45" s="499"/>
      <c r="L45" s="494"/>
      <c r="M45" s="501"/>
      <c r="N45" s="501"/>
      <c r="O45" s="494"/>
      <c r="P45" s="494"/>
      <c r="Q45" s="494"/>
      <c r="R45" s="494"/>
      <c r="S45" s="494"/>
      <c r="T45" s="494"/>
      <c r="U45" s="494"/>
    </row>
    <row r="46" spans="2:27" ht="15" customHeight="1">
      <c r="C46" s="929" t="str">
        <f>IF(Indice_index!$Z$1=1,"Investimento","Investment")</f>
        <v>Investment</v>
      </c>
      <c r="D46" s="930">
        <v>38.651164250000008</v>
      </c>
      <c r="E46" s="930">
        <v>10.69506704</v>
      </c>
      <c r="F46" s="930">
        <v>4.2666486999999993</v>
      </c>
      <c r="G46" s="932">
        <f t="shared" si="17"/>
        <v>-60.106386579508531</v>
      </c>
      <c r="H46" s="932">
        <f t="shared" si="20"/>
        <v>-5.1839279183513283E-2</v>
      </c>
      <c r="I46" s="502"/>
      <c r="J46" s="502"/>
      <c r="K46" s="502"/>
      <c r="L46" s="487"/>
      <c r="M46" s="501"/>
      <c r="N46" s="501"/>
      <c r="O46" s="487"/>
      <c r="P46" s="487"/>
      <c r="Q46" s="487"/>
      <c r="R46" s="487"/>
      <c r="S46" s="487"/>
      <c r="T46" s="487"/>
      <c r="U46" s="487"/>
    </row>
    <row r="47" spans="2:27" ht="15" customHeight="1">
      <c r="C47" s="929" t="str">
        <f>IF(Indice_index!$Z$1=1,"Transferências de capital","Capital transfers")</f>
        <v>Capital transfers</v>
      </c>
      <c r="D47" s="933">
        <f t="shared" ref="D47" si="25">+D49+D51+D48+D50</f>
        <v>4.1755319499999999</v>
      </c>
      <c r="E47" s="933">
        <f t="shared" ref="E47:F47" si="26">+E49+E51+E48+E50</f>
        <v>0.29814750000000001</v>
      </c>
      <c r="F47" s="933">
        <f t="shared" si="26"/>
        <v>0.19375771</v>
      </c>
      <c r="G47" s="932">
        <f t="shared" si="17"/>
        <v>-35.012800711057452</v>
      </c>
      <c r="H47" s="932">
        <f t="shared" si="20"/>
        <v>-8.418076082643874E-4</v>
      </c>
      <c r="I47" s="502"/>
      <c r="J47" s="502"/>
      <c r="K47" s="502"/>
      <c r="L47" s="487"/>
      <c r="M47" s="501"/>
      <c r="N47" s="501"/>
      <c r="O47" s="487"/>
      <c r="P47" s="487"/>
      <c r="Q47" s="487"/>
      <c r="R47" s="487"/>
      <c r="S47" s="487"/>
      <c r="T47" s="487"/>
      <c r="U47" s="487"/>
    </row>
    <row r="48" spans="2:27" ht="15" customHeight="1">
      <c r="C48" s="803" t="str">
        <f>IF(Indice_index!$Z$1=1,"Administração Central","Central Administration")</f>
        <v>Central Administration</v>
      </c>
      <c r="D48" s="930">
        <v>0</v>
      </c>
      <c r="E48" s="930">
        <v>0</v>
      </c>
      <c r="F48" s="930">
        <v>0</v>
      </c>
      <c r="G48" s="932" t="str">
        <f t="shared" si="17"/>
        <v>-</v>
      </c>
      <c r="H48" s="932">
        <f t="shared" si="20"/>
        <v>0</v>
      </c>
      <c r="I48" s="502"/>
      <c r="J48" s="502"/>
      <c r="K48" s="502"/>
      <c r="L48" s="487"/>
      <c r="M48" s="501"/>
      <c r="N48" s="501"/>
      <c r="O48" s="487"/>
      <c r="P48" s="487"/>
      <c r="Q48" s="487"/>
      <c r="R48" s="487"/>
      <c r="S48" s="487"/>
      <c r="T48" s="487"/>
      <c r="U48" s="487"/>
    </row>
    <row r="49" spans="2:21" ht="15" customHeight="1">
      <c r="C49" s="822" t="str">
        <f>IF(Indice_index!$Z$1=1,"Outros subsectores das AP","Other General Government subsectors")</f>
        <v>Other General Government subsectors</v>
      </c>
      <c r="D49" s="930">
        <v>0</v>
      </c>
      <c r="E49" s="930">
        <v>0</v>
      </c>
      <c r="F49" s="930">
        <v>0</v>
      </c>
      <c r="G49" s="932" t="str">
        <f t="shared" si="17"/>
        <v>-</v>
      </c>
      <c r="H49" s="932">
        <f t="shared" si="20"/>
        <v>0</v>
      </c>
      <c r="I49" s="502"/>
      <c r="J49" s="502"/>
      <c r="K49" s="502"/>
      <c r="L49" s="487"/>
      <c r="M49" s="501"/>
      <c r="N49" s="501"/>
      <c r="O49" s="487"/>
      <c r="P49" s="487"/>
      <c r="Q49" s="487"/>
      <c r="R49" s="487"/>
      <c r="S49" s="487"/>
      <c r="T49" s="487"/>
      <c r="U49" s="487"/>
    </row>
    <row r="50" spans="2:21" ht="15" customHeight="1">
      <c r="C50" s="822" t="str">
        <f>IF(Indice_index!$Z$1=1,"União Europeia","European Union")</f>
        <v>European Union</v>
      </c>
      <c r="D50" s="930">
        <v>0.77931732999999992</v>
      </c>
      <c r="E50" s="930">
        <v>1.8112879999999998E-2</v>
      </c>
      <c r="F50" s="930">
        <v>0</v>
      </c>
      <c r="G50" s="932">
        <f t="shared" si="17"/>
        <v>-100</v>
      </c>
      <c r="H50" s="932">
        <f t="shared" si="20"/>
        <v>-1.4606371170571236E-4</v>
      </c>
      <c r="I50" s="502"/>
      <c r="J50" s="502"/>
      <c r="K50" s="502"/>
      <c r="L50" s="487"/>
      <c r="M50" s="501"/>
      <c r="N50" s="501"/>
      <c r="O50" s="487"/>
      <c r="P50" s="487"/>
      <c r="Q50" s="487"/>
      <c r="R50" s="487"/>
      <c r="S50" s="487"/>
      <c r="T50" s="487"/>
      <c r="U50" s="487"/>
    </row>
    <row r="51" spans="2:21" ht="15" customHeight="1">
      <c r="C51" s="822" t="str">
        <f>IF(Indice_index!$Z$1=1,"Outras transferências","Other transfers")</f>
        <v>Other transfers</v>
      </c>
      <c r="D51" s="930">
        <v>3.3962146200000003</v>
      </c>
      <c r="E51" s="930">
        <v>0.28003462000000001</v>
      </c>
      <c r="F51" s="930">
        <v>0.19375771</v>
      </c>
      <c r="G51" s="932">
        <f t="shared" si="17"/>
        <v>-30.809372783979356</v>
      </c>
      <c r="H51" s="932">
        <f t="shared" si="20"/>
        <v>-6.9574389655867503E-4</v>
      </c>
      <c r="I51" s="502"/>
      <c r="J51" s="502"/>
      <c r="K51" s="502"/>
      <c r="L51" s="487"/>
      <c r="M51" s="501"/>
      <c r="N51" s="501"/>
      <c r="O51" s="487"/>
      <c r="P51" s="487"/>
      <c r="Q51" s="487"/>
      <c r="R51" s="487"/>
      <c r="S51" s="487"/>
      <c r="T51" s="487"/>
      <c r="U51" s="487"/>
    </row>
    <row r="52" spans="2:21" ht="15" customHeight="1">
      <c r="C52" s="929" t="str">
        <f>IF(Indice_index!$Z$1=1,"Outras despesas de capital","Other capital expenditure")</f>
        <v>Other capital expenditure</v>
      </c>
      <c r="D52" s="930">
        <v>0</v>
      </c>
      <c r="E52" s="930">
        <v>0</v>
      </c>
      <c r="F52" s="930">
        <v>0</v>
      </c>
      <c r="G52" s="932" t="str">
        <f t="shared" si="17"/>
        <v>-</v>
      </c>
      <c r="H52" s="932">
        <f t="shared" si="20"/>
        <v>0</v>
      </c>
      <c r="I52" s="502"/>
      <c r="J52" s="502"/>
      <c r="K52" s="502"/>
      <c r="L52" s="487"/>
      <c r="M52" s="501"/>
      <c r="N52" s="501"/>
      <c r="O52" s="487"/>
      <c r="P52" s="487"/>
      <c r="Q52" s="487"/>
      <c r="R52" s="487"/>
      <c r="S52" s="487"/>
      <c r="T52" s="487"/>
      <c r="U52" s="487"/>
    </row>
    <row r="53" spans="2:21" ht="4.5" customHeight="1">
      <c r="C53" s="929"/>
      <c r="D53" s="932"/>
      <c r="E53" s="932"/>
      <c r="F53" s="932"/>
      <c r="G53" s="932"/>
      <c r="H53" s="932"/>
      <c r="I53" s="502"/>
      <c r="J53" s="502"/>
      <c r="K53" s="502"/>
      <c r="L53" s="508"/>
      <c r="M53" s="501"/>
      <c r="N53" s="501"/>
      <c r="O53" s="487"/>
      <c r="P53" s="487"/>
      <c r="Q53" s="487"/>
      <c r="R53" s="487"/>
      <c r="S53" s="487"/>
      <c r="T53" s="487"/>
      <c r="U53" s="487"/>
    </row>
    <row r="54" spans="2:21" s="495" customFormat="1" ht="15" customHeight="1">
      <c r="C54" s="934" t="str">
        <f>IF(Indice_index!$Z$1=1,"Despesa efetiva","Effective Expenditure")</f>
        <v>Effective Expenditure</v>
      </c>
      <c r="D54" s="935">
        <f t="shared" ref="D54" si="27">+D45+D31</f>
        <v>31238.276845639997</v>
      </c>
      <c r="E54" s="935">
        <f t="shared" ref="E54:F54" si="28">+E45+E31</f>
        <v>12400.670767899997</v>
      </c>
      <c r="F54" s="935">
        <f t="shared" si="28"/>
        <v>11529.577656989999</v>
      </c>
      <c r="G54" s="935">
        <f t="shared" ref="G54" si="29">IF(IFERROR((F54-E54)/E54*100,"")&gt;500,"-",IFERROR((F54-E54)/E54*100,""))</f>
        <v>-7.0245644547300117</v>
      </c>
      <c r="H54" s="935"/>
      <c r="I54" s="499"/>
      <c r="J54" s="499"/>
      <c r="K54" s="499"/>
      <c r="L54" s="494"/>
      <c r="M54" s="501"/>
      <c r="N54" s="501"/>
      <c r="O54" s="494"/>
      <c r="P54" s="494"/>
      <c r="Q54" s="494"/>
      <c r="R54" s="494"/>
      <c r="S54" s="494"/>
      <c r="T54" s="494"/>
      <c r="U54" s="494"/>
    </row>
    <row r="55" spans="2:21" ht="4.5" customHeight="1">
      <c r="C55" s="936"/>
      <c r="D55" s="112"/>
      <c r="E55" s="112"/>
      <c r="F55" s="112"/>
      <c r="G55" s="937"/>
      <c r="H55" s="932"/>
      <c r="I55" s="502"/>
      <c r="J55" s="502"/>
      <c r="K55" s="502"/>
      <c r="M55" s="501"/>
      <c r="N55" s="501"/>
      <c r="O55" s="508"/>
      <c r="P55" s="508"/>
      <c r="Q55" s="508"/>
      <c r="R55" s="487"/>
      <c r="S55" s="487"/>
      <c r="T55" s="487"/>
      <c r="U55" s="487"/>
    </row>
    <row r="56" spans="2:21" s="495" customFormat="1" ht="15" customHeight="1">
      <c r="C56" s="938" t="str">
        <f>IF(Indice_index!$Z$1=1,"Saldo global","Overall Balance")</f>
        <v>Overall Balance</v>
      </c>
      <c r="D56" s="939">
        <f t="shared" ref="D56:F56" si="30">+D29-D54</f>
        <v>2328.2650340600048</v>
      </c>
      <c r="E56" s="939">
        <f>+E29-E54</f>
        <v>299.06548745000146</v>
      </c>
      <c r="F56" s="939">
        <f t="shared" si="30"/>
        <v>2043.3212096299976</v>
      </c>
      <c r="G56" s="939"/>
      <c r="H56" s="939"/>
      <c r="I56" s="509"/>
      <c r="J56" s="510"/>
      <c r="K56" s="499"/>
      <c r="M56" s="501"/>
      <c r="N56" s="501"/>
      <c r="O56" s="494"/>
      <c r="P56" s="494"/>
      <c r="Q56" s="494"/>
      <c r="R56" s="494"/>
      <c r="S56" s="494"/>
      <c r="T56" s="494"/>
      <c r="U56" s="494"/>
    </row>
    <row r="57" spans="2:21" ht="8.25" customHeight="1">
      <c r="B57" s="487"/>
      <c r="C57" s="940"/>
      <c r="D57" s="112"/>
      <c r="E57" s="112"/>
      <c r="F57" s="112"/>
      <c r="G57" s="931"/>
      <c r="H57" s="941"/>
      <c r="I57" s="502"/>
      <c r="J57" s="502"/>
      <c r="K57" s="502"/>
      <c r="M57" s="501"/>
      <c r="N57" s="501"/>
    </row>
    <row r="58" spans="2:21" ht="15" customHeight="1">
      <c r="B58" s="487"/>
      <c r="C58" s="942" t="str">
        <f>IF(Indice_index!$Z$1=1,"Despesa  primária","Primary Expenditure")</f>
        <v>Primary Expenditure</v>
      </c>
      <c r="D58" s="686">
        <f t="shared" ref="D58" si="31">+D54-D37</f>
        <v>31231.769790899998</v>
      </c>
      <c r="E58" s="686">
        <f t="shared" ref="E58:F58" si="32">+E54-E37</f>
        <v>12397.977654729997</v>
      </c>
      <c r="F58" s="686">
        <f t="shared" si="32"/>
        <v>11526.857721019998</v>
      </c>
      <c r="G58" s="933">
        <f t="shared" ref="G58" si="33">IF(IFERROR((F58-E58)/E58*100,"")&gt;500,"-",IFERROR((F58-E58)/E58*100,""))</f>
        <v>-7.0263066926697899</v>
      </c>
      <c r="H58" s="932"/>
      <c r="I58" s="502"/>
      <c r="J58" s="502"/>
      <c r="K58" s="502"/>
      <c r="M58" s="501"/>
      <c r="N58" s="501"/>
    </row>
    <row r="59" spans="2:21" ht="15" customHeight="1">
      <c r="B59" s="487"/>
      <c r="C59" s="942" t="str">
        <f>IF(Indice_index!$Z$1=1,"Saldo primário","Primary balance")</f>
        <v>Primary balance</v>
      </c>
      <c r="D59" s="686">
        <f t="shared" ref="D59" si="34">+D56+D37</f>
        <v>2334.7720888000049</v>
      </c>
      <c r="E59" s="686">
        <f t="shared" ref="E59:F59" si="35">+E56+E37</f>
        <v>301.75860062000146</v>
      </c>
      <c r="F59" s="686">
        <f t="shared" si="35"/>
        <v>2046.0411455999977</v>
      </c>
      <c r="G59" s="933"/>
      <c r="H59" s="933"/>
      <c r="I59" s="502"/>
      <c r="J59" s="502"/>
      <c r="K59" s="502"/>
      <c r="M59" s="501"/>
      <c r="N59" s="501"/>
    </row>
    <row r="60" spans="2:21" ht="15" customHeight="1">
      <c r="B60" s="487"/>
      <c r="C60" s="942" t="str">
        <f>IF(Indice_index!$Z$1=1,"Saldo corrente","Current balance")</f>
        <v>Current balance</v>
      </c>
      <c r="D60" s="686">
        <f t="shared" ref="D60" si="36">+D8-D31</f>
        <v>2370.1762771700087</v>
      </c>
      <c r="E60" s="686">
        <f t="shared" ref="E60:F60" si="37">+E8-E31</f>
        <v>309.91329431000122</v>
      </c>
      <c r="F60" s="686">
        <f t="shared" si="37"/>
        <v>2047.4692829099986</v>
      </c>
      <c r="G60" s="933"/>
      <c r="H60" s="933"/>
      <c r="I60" s="502"/>
      <c r="J60" s="502"/>
      <c r="K60" s="502"/>
      <c r="M60" s="501"/>
      <c r="N60" s="501"/>
    </row>
    <row r="61" spans="2:21" ht="15" customHeight="1">
      <c r="B61" s="487"/>
      <c r="C61" s="942" t="str">
        <f>IF(Indice_index!$Z$1=1,"Saldo de capital","Capital balance")</f>
        <v>Capital balance</v>
      </c>
      <c r="D61" s="686">
        <f t="shared" ref="D61" si="38">+D20-D45</f>
        <v>-41.911243110000008</v>
      </c>
      <c r="E61" s="686">
        <f>+E20-E45</f>
        <v>-10.84780686</v>
      </c>
      <c r="F61" s="686">
        <f t="shared" ref="F61" si="39">+F20-F45</f>
        <v>-4.1480732799999993</v>
      </c>
      <c r="G61" s="933"/>
      <c r="H61" s="933"/>
      <c r="I61" s="502"/>
      <c r="J61" s="502"/>
      <c r="K61" s="502"/>
      <c r="M61" s="501"/>
      <c r="N61" s="501"/>
    </row>
    <row r="62" spans="2:21" ht="4.5" customHeight="1">
      <c r="B62" s="487"/>
      <c r="C62" s="942"/>
      <c r="D62" s="930"/>
      <c r="E62" s="930"/>
      <c r="F62" s="930"/>
      <c r="G62" s="931"/>
      <c r="H62" s="941"/>
      <c r="I62" s="502"/>
      <c r="J62" s="502"/>
      <c r="K62" s="502"/>
      <c r="M62" s="501"/>
      <c r="N62" s="501"/>
    </row>
    <row r="63" spans="2:21" ht="15" customHeight="1">
      <c r="B63" s="487"/>
      <c r="C63" s="942" t="str">
        <f>IF(Indice_index!$Z$1=1,"Ativos financeiros líquidos de reembolsos","Financial assets net of reimbursements")</f>
        <v>Financial assets net of reimbursements</v>
      </c>
      <c r="D63" s="930">
        <v>4376.8330583500019</v>
      </c>
      <c r="E63" s="930">
        <v>1728.0754121899986</v>
      </c>
      <c r="F63" s="930">
        <v>-1126.1613366200004</v>
      </c>
      <c r="G63" s="931"/>
      <c r="H63" s="941"/>
      <c r="I63" s="502"/>
      <c r="J63" s="502"/>
      <c r="K63" s="502"/>
      <c r="M63" s="501"/>
      <c r="N63" s="501"/>
    </row>
    <row r="64" spans="2:21" ht="15" customHeight="1">
      <c r="B64" s="487"/>
      <c r="C64" s="940" t="str">
        <f>IF(Indice_index!$Z$1=1,"dos quais Receitas de:","of which revenue from:")</f>
        <v>of which revenue from:</v>
      </c>
      <c r="D64" s="930"/>
      <c r="E64" s="930"/>
      <c r="F64" s="930"/>
      <c r="G64" s="931"/>
      <c r="H64" s="941"/>
      <c r="I64" s="502"/>
      <c r="J64" s="502"/>
      <c r="K64" s="502"/>
      <c r="M64" s="501"/>
      <c r="N64" s="501"/>
    </row>
    <row r="65" spans="2:17" ht="15" customHeight="1">
      <c r="C65" s="943" t="str">
        <f>IF(Indice_index!$Z$1=1,"Alienação de partes de Capital","Disposal of Capital Shares")</f>
        <v>Disposal of Capital Shares</v>
      </c>
      <c r="D65" s="930">
        <v>0</v>
      </c>
      <c r="E65" s="930">
        <v>0</v>
      </c>
      <c r="F65" s="930">
        <v>0</v>
      </c>
      <c r="G65" s="931"/>
      <c r="H65" s="941"/>
      <c r="I65" s="502"/>
      <c r="J65" s="502"/>
      <c r="K65" s="502"/>
      <c r="M65" s="501"/>
      <c r="N65" s="501"/>
    </row>
    <row r="66" spans="2:17" ht="15" customHeight="1">
      <c r="B66" s="490"/>
      <c r="C66" s="943" t="str">
        <f>IF(Indice_index!$Z$1=1,"Outros Ativos","Other Assets")</f>
        <v>Other Assets</v>
      </c>
      <c r="D66" s="930">
        <v>7165.9928975199991</v>
      </c>
      <c r="E66" s="930">
        <v>3196.0624509099998</v>
      </c>
      <c r="F66" s="930">
        <v>4837.2881283900006</v>
      </c>
      <c r="G66" s="931"/>
      <c r="H66" s="941"/>
      <c r="I66" s="502"/>
      <c r="J66" s="502"/>
      <c r="K66" s="502"/>
      <c r="M66" s="501"/>
      <c r="N66" s="501"/>
    </row>
    <row r="67" spans="2:17" ht="15" customHeight="1">
      <c r="B67" s="490"/>
      <c r="C67" s="942" t="str">
        <f>IF(Indice_index!$Z$1=1,"Passivos financeiros líquidos de amortizações","Financial liabilities net of amortizations")</f>
        <v>Financial liabilities net of amortizations</v>
      </c>
      <c r="D67" s="930">
        <v>0</v>
      </c>
      <c r="E67" s="930">
        <v>0</v>
      </c>
      <c r="F67" s="930">
        <v>-5.8375830000000004E-2</v>
      </c>
      <c r="G67" s="932"/>
      <c r="H67" s="944"/>
      <c r="I67" s="502"/>
      <c r="J67" s="502"/>
      <c r="K67" s="502"/>
      <c r="M67" s="501"/>
      <c r="N67" s="501"/>
    </row>
    <row r="68" spans="2:17" ht="15" customHeight="1">
      <c r="B68" s="487"/>
      <c r="C68" s="926" t="str">
        <f>IF(Indice_index!$Z$1=1,"Poupança (+) / Utilização (-) de saldo da gerência anterior","Saving (+) / Usage (-) of balance from previous management")</f>
        <v>Saving (+) / Usage (-) of balance from previous management</v>
      </c>
      <c r="D68" s="945">
        <f t="shared" ref="D68" si="40">+D56-D63+D67</f>
        <v>-2048.5680242899971</v>
      </c>
      <c r="E68" s="945">
        <f t="shared" ref="E68:F68" si="41">+E56-E63+E67</f>
        <v>-1429.0099247399971</v>
      </c>
      <c r="F68" s="945">
        <f t="shared" si="41"/>
        <v>3169.4241704199981</v>
      </c>
      <c r="G68" s="946"/>
      <c r="H68" s="947"/>
      <c r="I68" s="502"/>
      <c r="J68" s="502"/>
      <c r="K68" s="502"/>
      <c r="M68" s="501"/>
      <c r="N68" s="501"/>
    </row>
    <row r="69" spans="2:17" s="124" customFormat="1" ht="4.5" customHeight="1">
      <c r="C69" s="481"/>
      <c r="D69" s="481"/>
      <c r="E69" s="948"/>
      <c r="F69" s="948"/>
      <c r="G69" s="481"/>
      <c r="H69" s="481"/>
      <c r="I69" s="481"/>
      <c r="J69" s="112"/>
    </row>
    <row r="70" spans="2:17" s="124" customFormat="1" ht="15" customHeight="1">
      <c r="C70" s="949" t="str">
        <f>IF(Indice_index!$Z$1=1,"Notas:","Notes:")</f>
        <v>Notes:</v>
      </c>
      <c r="D70" s="949"/>
      <c r="E70" s="948"/>
      <c r="F70" s="948"/>
      <c r="G70" s="481"/>
      <c r="H70" s="481"/>
      <c r="I70" s="481"/>
      <c r="J70" s="112"/>
    </row>
    <row r="71" spans="2:17" s="97" customFormat="1" ht="15" customHeight="1">
      <c r="C71" s="1704" t="str">
        <f>IF(Indice_index!$Z$1=1,"Valores consolidados - são excluídas transferências intra-setoriais.","Consolidated data - transfers within the subsector are excluded.")</f>
        <v>Consolidated data - transfers within the subsector are excluded.</v>
      </c>
      <c r="D71" s="1704"/>
      <c r="E71" s="1704"/>
      <c r="F71" s="1704"/>
      <c r="G71" s="1704"/>
      <c r="H71" s="1704"/>
      <c r="I71" s="112"/>
      <c r="J71" s="112"/>
    </row>
    <row r="72" spans="2:17" s="124" customFormat="1" ht="19.5" customHeight="1">
      <c r="C72" s="1704" t="str">
        <f>IF(Indice_index!$Z$1=1,"As diferenças de consolidação são imputadas a outras receitas e/ou despesas correntes e de capital.","Other current revenues/expenditure and other capital revenues/expenditure are influenced by subsector consolidation differences.")</f>
        <v>Other current revenues/expenditure and other capital revenues/expenditure are influenced by subsector consolidation differences.</v>
      </c>
      <c r="D72" s="1704"/>
      <c r="E72" s="1704"/>
      <c r="F72" s="1704"/>
      <c r="G72" s="1704"/>
      <c r="H72" s="1704"/>
      <c r="I72" s="479"/>
      <c r="J72" s="136"/>
    </row>
    <row r="73" spans="2:17" s="22" customFormat="1" ht="12.75" customHeight="1">
      <c r="C73" s="1674" t="str">
        <f>+'5 - Conta AC + SS'!$C$64</f>
        <v>2021 cumulative execution is monthly reviewed and updated and therefore may differ from data published in 2021.</v>
      </c>
      <c r="D73" s="1674"/>
      <c r="E73" s="1674"/>
      <c r="F73" s="1674"/>
      <c r="G73" s="1674"/>
      <c r="H73" s="1674"/>
      <c r="I73" s="63"/>
      <c r="P73" s="24"/>
      <c r="Q73" s="24"/>
    </row>
    <row r="74" spans="2:17" s="124" customFormat="1" ht="4.5" customHeight="1">
      <c r="C74" s="481"/>
      <c r="D74" s="481"/>
      <c r="E74" s="948"/>
      <c r="F74" s="950"/>
      <c r="G74" s="481"/>
      <c r="H74" s="481"/>
      <c r="I74" s="481"/>
      <c r="J74" s="481"/>
    </row>
    <row r="75" spans="2:17" ht="15" customHeight="1">
      <c r="C75" s="481" t="str">
        <f>IF(Indice_index!$Z$1=1,"Fonte: Instituto de Gestão Financeira da Segurança Social, I.P.","Souce: Social Security Finance Management Institute")</f>
        <v>Souce: Social Security Finance Management Institute</v>
      </c>
      <c r="D75" s="481"/>
      <c r="E75" s="112"/>
      <c r="F75" s="951"/>
      <c r="G75" s="481"/>
      <c r="H75" s="481"/>
      <c r="I75" s="481"/>
      <c r="J75" s="481"/>
    </row>
    <row r="76" spans="2:17" ht="12.75" customHeight="1">
      <c r="C76" s="671"/>
      <c r="D76" s="671"/>
      <c r="E76" s="672"/>
      <c r="F76" s="138"/>
      <c r="G76" s="673"/>
      <c r="H76" s="674"/>
    </row>
    <row r="77" spans="2:17" ht="12.75" customHeight="1">
      <c r="C77" s="671"/>
      <c r="D77" s="671"/>
      <c r="E77" s="668"/>
      <c r="F77" s="668"/>
      <c r="G77" s="673"/>
      <c r="H77" s="674"/>
    </row>
    <row r="78" spans="2:17" ht="12.75" customHeight="1">
      <c r="E78" s="532"/>
      <c r="F78" s="532"/>
    </row>
    <row r="79" spans="2:17" ht="12.75" customHeight="1">
      <c r="E79" s="532"/>
      <c r="F79" s="532"/>
    </row>
    <row r="80" spans="2:17" ht="12.75" customHeight="1"/>
    <row r="81" spans="5:8" ht="12.75" customHeight="1">
      <c r="E81" s="532"/>
      <c r="F81" s="532"/>
    </row>
    <row r="82" spans="5:8" ht="12.75" customHeight="1">
      <c r="E82" s="532"/>
      <c r="F82" s="532"/>
    </row>
    <row r="83" spans="5:8" ht="12.75" customHeight="1"/>
    <row r="84" spans="5:8" ht="12.75" customHeight="1"/>
    <row r="85" spans="5:8" ht="12.75" customHeight="1"/>
    <row r="86" spans="5:8" ht="12.75" customHeight="1"/>
    <row r="87" spans="5:8" ht="12.75" customHeight="1"/>
    <row r="88" spans="5:8" ht="12.75" customHeight="1"/>
    <row r="89" spans="5:8" ht="12.75" customHeight="1"/>
    <row r="90" spans="5:8" ht="12.75" customHeight="1"/>
    <row r="91" spans="5:8" ht="12.75" customHeight="1">
      <c r="E91" s="512"/>
      <c r="F91" s="512"/>
      <c r="H91" s="493"/>
    </row>
    <row r="92" spans="5:8" ht="12.75" customHeight="1">
      <c r="E92" s="512"/>
      <c r="F92" s="512"/>
      <c r="H92" s="493"/>
    </row>
    <row r="93" spans="5:8" ht="12.75" customHeight="1">
      <c r="E93" s="493"/>
      <c r="F93" s="493"/>
      <c r="G93" s="511"/>
      <c r="H93" s="511"/>
    </row>
    <row r="94" spans="5:8" ht="12.75" customHeight="1"/>
    <row r="95" spans="5:8" ht="12.75" customHeight="1"/>
    <row r="96" spans="5:8" ht="12.75" customHeight="1">
      <c r="E96" s="493"/>
      <c r="F96" s="493"/>
      <c r="G96" s="511"/>
      <c r="H96" s="511"/>
    </row>
    <row r="97" spans="3:4" ht="12.75" customHeight="1"/>
    <row r="98" spans="3:4" ht="12.75" customHeight="1"/>
    <row r="99" spans="3:4" ht="12.75" customHeight="1"/>
    <row r="100" spans="3:4" ht="12.75" customHeight="1">
      <c r="C100" s="41"/>
      <c r="D100" s="41"/>
    </row>
    <row r="101" spans="3:4" ht="12.75" customHeight="1"/>
    <row r="102" spans="3:4" ht="12.75" customHeight="1"/>
    <row r="103" spans="3:4" ht="12.75" customHeight="1"/>
    <row r="104" spans="3:4" ht="12.75" customHeight="1"/>
    <row r="105" spans="3:4" ht="12.75" customHeight="1"/>
    <row r="106" spans="3:4" ht="12.75" customHeight="1"/>
    <row r="107" spans="3:4" ht="12.75" customHeight="1"/>
    <row r="108" spans="3:4" ht="12.75" customHeight="1"/>
    <row r="109" spans="3:4" ht="12.75" customHeight="1"/>
    <row r="110" spans="3:4" ht="12.75" customHeight="1"/>
    <row r="111" spans="3:4" ht="12.75" customHeight="1"/>
    <row r="112" spans="3:4"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H73"/>
    <mergeCell ref="E6:F6"/>
    <mergeCell ref="G6:H6"/>
    <mergeCell ref="C71:H71"/>
    <mergeCell ref="C72:H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E71:F72 G71:H72 G6 H7 D6:F6" unlockedFormula="1"/>
    <ignoredError sqref="D14:F14 D22:F22" formulaRange="1"/>
    <ignoredError sqref="D7:F7" numberStoredAsText="1"/>
    <ignoredError sqref="G7" numberStoredAsText="1" unlockedFormula="1"/>
    <ignoredError sqref="E20:F20 E45:F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40625" defaultRowHeight="15"/>
  <cols>
    <col min="1" max="1" width="2.140625" style="137" customWidth="1"/>
    <col min="2" max="2" width="4.42578125" style="137" customWidth="1"/>
    <col min="3" max="3" width="40.5703125" style="137" customWidth="1"/>
    <col min="4" max="5" width="8.140625" style="137" customWidth="1"/>
    <col min="6" max="6" width="7.5703125" style="137" customWidth="1"/>
    <col min="7" max="7" width="8.140625" style="137" customWidth="1"/>
    <col min="8" max="8" width="8.5703125" style="137" customWidth="1"/>
    <col min="9" max="9" width="8.5703125" style="373" customWidth="1"/>
    <col min="10" max="10" width="7.85546875" style="373" customWidth="1"/>
    <col min="11" max="11" width="8" style="373" customWidth="1"/>
    <col min="12" max="12" width="7.140625" style="373" customWidth="1"/>
    <col min="13" max="13" width="8.5703125" style="4" customWidth="1"/>
    <col min="14" max="14" width="8.5703125" style="137" customWidth="1"/>
    <col min="15" max="15" width="9.140625" style="247" customWidth="1"/>
    <col min="16" max="16" width="11" style="247" bestFit="1" customWidth="1"/>
    <col min="17" max="17" width="5.5703125" style="137" customWidth="1"/>
    <col min="18" max="18" width="10.42578125" style="137" bestFit="1" customWidth="1"/>
    <col min="19" max="19" width="3.5703125" style="137" customWidth="1"/>
    <col min="20" max="20" width="3.140625" style="137" customWidth="1"/>
    <col min="21" max="21" width="3.5703125" style="137" customWidth="1"/>
    <col min="22" max="23" width="12.5703125" style="137" bestFit="1" customWidth="1"/>
    <col min="24" max="24" width="3.5703125" style="137" customWidth="1"/>
    <col min="25" max="16384" width="9.140625" style="137"/>
  </cols>
  <sheetData>
    <row r="1" spans="2:33" s="50" customFormat="1" ht="15" customHeight="1">
      <c r="B1" s="49"/>
      <c r="C1" s="49"/>
      <c r="D1" s="245"/>
      <c r="E1" s="245"/>
      <c r="F1" s="245"/>
      <c r="G1" s="245"/>
      <c r="H1" s="245"/>
      <c r="I1" s="376"/>
      <c r="J1" s="376"/>
      <c r="K1" s="376"/>
      <c r="L1" s="376"/>
      <c r="M1" s="376"/>
      <c r="O1" s="247"/>
      <c r="P1" s="247"/>
    </row>
    <row r="2" spans="2:33" ht="24" customHeight="1">
      <c r="B2" s="8"/>
      <c r="C2" s="51" t="str">
        <f>IF(Indice_index!$Z$1=1,"14 - Execução Orçamental da Administração Regional","14 - Regional Government Budget Execution")</f>
        <v>14 - Regional Government Budget Execution</v>
      </c>
      <c r="D2" s="51"/>
      <c r="E2" s="51"/>
      <c r="F2" s="51"/>
      <c r="G2" s="51"/>
      <c r="H2" s="51"/>
      <c r="I2" s="336"/>
      <c r="J2" s="336"/>
      <c r="K2" s="336"/>
      <c r="L2" s="336"/>
      <c r="M2" s="336"/>
    </row>
    <row r="3" spans="2:33" ht="15" customHeight="1">
      <c r="D3" s="245"/>
      <c r="E3" s="245"/>
      <c r="F3" s="245"/>
      <c r="G3" s="245"/>
      <c r="H3" s="245"/>
      <c r="I3" s="376"/>
      <c r="J3" s="376"/>
      <c r="K3" s="376"/>
      <c r="L3" s="376"/>
      <c r="M3" s="376"/>
    </row>
    <row r="4" spans="2:33" ht="15" customHeight="1">
      <c r="B4" s="97"/>
      <c r="C4" s="97"/>
      <c r="D4" s="97"/>
      <c r="E4" s="97"/>
      <c r="F4" s="97"/>
      <c r="G4" s="97"/>
      <c r="H4" s="97"/>
      <c r="I4" s="97"/>
      <c r="J4" s="97"/>
      <c r="K4" s="97"/>
      <c r="L4" s="97"/>
      <c r="M4" s="97"/>
    </row>
    <row r="5" spans="2:33" s="300" customFormat="1" ht="15" customHeight="1">
      <c r="C5" s="847" t="str">
        <f>+'5 - Conta AC + SS'!C5</f>
        <v>Period: January to May</v>
      </c>
      <c r="D5" s="1140"/>
      <c r="E5" s="1140"/>
      <c r="F5" s="1141"/>
      <c r="G5" s="1141"/>
      <c r="H5" s="1141"/>
      <c r="I5" s="1141"/>
      <c r="J5" s="1141"/>
      <c r="K5" s="852"/>
      <c r="L5" s="852"/>
      <c r="M5" s="852" t="str">
        <f>IF(Indice_index!$Z$1=1,"€ Milhões","€ Millions")</f>
        <v>€ Millions</v>
      </c>
      <c r="N5" s="390"/>
      <c r="O5" s="301"/>
      <c r="P5" s="301"/>
      <c r="Q5" s="302"/>
      <c r="R5" s="302"/>
      <c r="S5" s="302"/>
      <c r="T5" s="302"/>
      <c r="U5" s="302"/>
      <c r="V5" s="302"/>
      <c r="W5" s="302"/>
      <c r="X5" s="302"/>
      <c r="Y5" s="302"/>
      <c r="Z5" s="302"/>
      <c r="AA5" s="302"/>
      <c r="AB5" s="302"/>
      <c r="AC5" s="302"/>
      <c r="AD5" s="302"/>
      <c r="AE5" s="302"/>
      <c r="AF5" s="302"/>
      <c r="AG5" s="302"/>
    </row>
    <row r="6" spans="2:33" ht="25.5" customHeight="1">
      <c r="C6" s="1142"/>
      <c r="D6" s="1708" t="str">
        <f>IF(Indice_index!$Z$1=1,"R. Autónoma dos Açores","Azores Autonomous Region")</f>
        <v>Azores Autonomous Region</v>
      </c>
      <c r="E6" s="1709"/>
      <c r="F6" s="1710"/>
      <c r="G6" s="1708" t="str">
        <f>IF(Indice_index!$Z$1=1,"R. Autónoma da Madeira","Madeira Autonomous Region")</f>
        <v>Madeira Autonomous Region</v>
      </c>
      <c r="H6" s="1709"/>
      <c r="I6" s="1710"/>
      <c r="J6" s="1143" t="str">
        <f>IF(Indice_index!$Z$1=1,"Administração Regional","Regional Government")</f>
        <v>Regional Government</v>
      </c>
      <c r="K6" s="1144"/>
      <c r="L6" s="1144"/>
      <c r="M6" s="1144"/>
      <c r="N6" s="391"/>
      <c r="Q6" s="139"/>
      <c r="R6" s="140"/>
      <c r="S6" s="141"/>
      <c r="T6" s="141"/>
      <c r="U6" s="141"/>
      <c r="V6" s="142"/>
      <c r="W6" s="143"/>
      <c r="X6" s="143"/>
      <c r="Y6" s="141"/>
      <c r="Z6" s="141"/>
      <c r="AA6" s="141"/>
      <c r="AB6" s="139"/>
      <c r="AC6" s="139"/>
      <c r="AD6" s="139"/>
      <c r="AE6" s="139"/>
      <c r="AF6" s="139"/>
      <c r="AG6" s="139"/>
    </row>
    <row r="7" spans="2:33" ht="21.75" customHeight="1">
      <c r="C7" s="1145"/>
      <c r="D7" s="1706" t="str">
        <f>IF(Indice_index!$Z$1=1,"Execução Acumulada","Accumulated Execution")</f>
        <v>Accumulated Execution</v>
      </c>
      <c r="E7" s="1707"/>
      <c r="F7" s="1711"/>
      <c r="G7" s="1706" t="str">
        <f>IF(Indice_index!$Z$1=1,"Execução Acumulada","Accumulated Execution")</f>
        <v>Accumulated Execution</v>
      </c>
      <c r="H7" s="1707"/>
      <c r="I7" s="1711"/>
      <c r="J7" s="1706" t="str">
        <f>IF(Indice_index!$Z$1=1,"Execução Acumulada","Accumulated Execution")</f>
        <v>Accumulated Execution</v>
      </c>
      <c r="K7" s="1707"/>
      <c r="L7" s="1707"/>
      <c r="M7" s="1707"/>
      <c r="N7" s="391"/>
      <c r="Q7" s="1705"/>
      <c r="R7" s="1705"/>
      <c r="S7" s="144"/>
      <c r="T7" s="144"/>
      <c r="U7" s="144"/>
      <c r="V7" s="144"/>
      <c r="W7" s="1705"/>
      <c r="X7" s="1705"/>
      <c r="Y7" s="144"/>
      <c r="Z7" s="144"/>
      <c r="AA7" s="144"/>
      <c r="AB7" s="139"/>
      <c r="AC7" s="139"/>
      <c r="AD7" s="139"/>
      <c r="AE7" s="139"/>
      <c r="AF7" s="139"/>
      <c r="AG7" s="139"/>
    </row>
    <row r="8" spans="2:33" ht="30.75" customHeight="1">
      <c r="C8" s="1146"/>
      <c r="D8" s="1147">
        <v>2021</v>
      </c>
      <c r="E8" s="1148">
        <v>2022</v>
      </c>
      <c r="F8" s="1149" t="str">
        <f>IF(Indice_index!$Z$1=1,"TVH (%)","YOY Change Rate (%)")</f>
        <v>YOY Change Rate (%)</v>
      </c>
      <c r="G8" s="1150">
        <v>2021</v>
      </c>
      <c r="H8" s="1148">
        <v>2022</v>
      </c>
      <c r="I8" s="1149" t="str">
        <f>IF(Indice_index!$Z$1=1,"TVH (%)","YOY Change Rate (%)")</f>
        <v>YOY Change Rate (%)</v>
      </c>
      <c r="J8" s="1147">
        <v>2021</v>
      </c>
      <c r="K8" s="1148">
        <v>2022</v>
      </c>
      <c r="L8" s="1149" t="str">
        <f>IF(Indice_index!$Z$1=1,"TVH (%)","YOY Change Rate (%)")</f>
        <v>YOY Change Rate (%)</v>
      </c>
      <c r="M8" s="1151" t="str">
        <f>IF(Indice_index!$Z$1=1,"Contributo VH (p.p.)","YOY Change Contrib. (p.p.)")</f>
        <v>YOY Change Contrib. (p.p.)</v>
      </c>
      <c r="N8" s="391"/>
      <c r="Q8" s="145"/>
      <c r="R8" s="146"/>
      <c r="S8" s="147"/>
      <c r="T8" s="147"/>
      <c r="U8" s="147"/>
      <c r="V8" s="147"/>
      <c r="W8" s="145"/>
      <c r="X8" s="146"/>
      <c r="Y8" s="147"/>
      <c r="Z8" s="147"/>
      <c r="AA8" s="147"/>
      <c r="AB8" s="139"/>
      <c r="AC8" s="139"/>
      <c r="AD8" s="139"/>
      <c r="AE8" s="139"/>
      <c r="AF8" s="139"/>
      <c r="AG8" s="139"/>
    </row>
    <row r="9" spans="2:33" s="300" customFormat="1" ht="15" customHeight="1">
      <c r="C9" s="1152" t="str">
        <f>IF(Indice_index!$Z$1=1,"Receita corrente","Current revenue")</f>
        <v>Current revenue</v>
      </c>
      <c r="D9" s="1153">
        <v>464.14947835000009</v>
      </c>
      <c r="E9" s="1153">
        <v>394.86636469000013</v>
      </c>
      <c r="F9" s="303">
        <f>IFERROR(IF(ABS((E9-D9)/D9)*100&gt;500,"n.r",((E9-D9)/D9)*100),0)</f>
        <v>-14.926896806238746</v>
      </c>
      <c r="G9" s="1153">
        <v>417.19296004999984</v>
      </c>
      <c r="H9" s="1153">
        <v>464.12398250000001</v>
      </c>
      <c r="I9" s="303">
        <f>IFERROR(IF(ABS((H9-G9)/G9)*100&gt;500,"n.r",((H9-G9)/G9)*100),0)</f>
        <v>11.249236431117048</v>
      </c>
      <c r="J9" s="1153">
        <v>881.34243839999976</v>
      </c>
      <c r="K9" s="1153">
        <v>858.79534719000026</v>
      </c>
      <c r="L9" s="303">
        <f>IFERROR(IF(ABS((K9-J9)/J9)*100&gt;500,"n.r",((K9-J9)/J9)*100),0)</f>
        <v>-2.5582668242926987</v>
      </c>
      <c r="M9" s="303">
        <f t="shared" ref="M9:M21" si="0">IFERROR((K9-J9)/$J$35*100,"-")</f>
        <v>-2.2466608584475956</v>
      </c>
      <c r="N9" s="392"/>
      <c r="O9" s="301"/>
      <c r="P9" s="304"/>
      <c r="Q9" s="305"/>
      <c r="R9" s="306"/>
      <c r="S9" s="307"/>
      <c r="T9" s="307"/>
      <c r="U9" s="307"/>
      <c r="V9" s="302"/>
      <c r="W9" s="148"/>
      <c r="X9" s="148"/>
      <c r="Y9" s="148"/>
      <c r="Z9" s="148"/>
      <c r="AA9" s="148"/>
      <c r="AB9" s="148"/>
      <c r="AC9" s="148"/>
      <c r="AD9" s="148"/>
      <c r="AE9" s="148"/>
      <c r="AF9" s="148"/>
      <c r="AG9" s="148"/>
    </row>
    <row r="10" spans="2:33" ht="15" customHeight="1">
      <c r="C10" s="1154" t="str">
        <f>IF(Indice_index!$Z$1=1,"Receita Fiscal","Tax revenue")</f>
        <v>Tax revenue</v>
      </c>
      <c r="D10" s="1155">
        <v>248.94482304000002</v>
      </c>
      <c r="E10" s="1155">
        <v>256.43892896000006</v>
      </c>
      <c r="F10" s="1156">
        <f t="shared" ref="F10:F58" si="1">IFERROR(IF(ABS((E10-D10)/D10)*100&gt;500,"n.r",((E10-D10)/D10)*100),0)</f>
        <v>3.0103481681143047</v>
      </c>
      <c r="G10" s="1155">
        <v>289.67656531</v>
      </c>
      <c r="H10" s="1155">
        <v>315.83860737999998</v>
      </c>
      <c r="I10" s="1156">
        <f t="shared" ref="I10:I58" si="2">IFERROR(IF(ABS((H10-G10)/G10)*100&gt;500,"n.r",((H10-G10)/G10)*100),0)</f>
        <v>9.0314665399330583</v>
      </c>
      <c r="J10" s="1155">
        <v>538.62138834999996</v>
      </c>
      <c r="K10" s="1155">
        <v>572.2775363400001</v>
      </c>
      <c r="L10" s="1156">
        <f t="shared" ref="L10:L58" si="3">IFERROR(IF(ABS((K10-J10)/J10)*100&gt;500,"n.r",((K10-J10)/J10)*100),0)</f>
        <v>6.2485725071374505</v>
      </c>
      <c r="M10" s="1156">
        <f t="shared" si="0"/>
        <v>3.3536011200291176</v>
      </c>
      <c r="N10" s="393"/>
      <c r="P10" s="246"/>
      <c r="Q10" s="145"/>
      <c r="R10" s="146"/>
      <c r="S10" s="147"/>
      <c r="T10" s="147"/>
      <c r="U10" s="147"/>
      <c r="V10" s="139"/>
      <c r="W10" s="149"/>
      <c r="X10" s="148"/>
      <c r="Y10" s="148"/>
      <c r="Z10" s="148"/>
      <c r="AA10" s="148"/>
      <c r="AB10" s="148"/>
      <c r="AC10" s="148"/>
      <c r="AD10" s="148"/>
      <c r="AE10" s="148"/>
      <c r="AF10" s="148"/>
      <c r="AG10" s="148"/>
    </row>
    <row r="11" spans="2:33" ht="15" customHeight="1">
      <c r="C11" s="1157" t="str">
        <f>IF(Indice_index!$Z$1=1,"Impostos diretos","Direct taxes")</f>
        <v>Direct taxes</v>
      </c>
      <c r="D11" s="1155">
        <v>61.240777230000006</v>
      </c>
      <c r="E11" s="1155">
        <v>59.158276840000006</v>
      </c>
      <c r="F11" s="1156">
        <f t="shared" si="1"/>
        <v>-3.4005126717755725</v>
      </c>
      <c r="G11" s="1155">
        <v>72.16534996</v>
      </c>
      <c r="H11" s="1155">
        <v>80.504171749999998</v>
      </c>
      <c r="I11" s="1156">
        <f t="shared" si="2"/>
        <v>11.555160190620652</v>
      </c>
      <c r="J11" s="1155">
        <v>133.40612719000001</v>
      </c>
      <c r="K11" s="1155">
        <v>139.66244859</v>
      </c>
      <c r="L11" s="1156">
        <f t="shared" si="3"/>
        <v>4.6896807004146046</v>
      </c>
      <c r="M11" s="1156">
        <f t="shared" si="0"/>
        <v>0.6233989243372714</v>
      </c>
      <c r="N11" s="393"/>
      <c r="P11" s="246"/>
      <c r="Q11" s="145"/>
      <c r="R11" s="146"/>
      <c r="S11" s="147"/>
      <c r="T11" s="147"/>
      <c r="U11" s="147"/>
      <c r="V11" s="139"/>
      <c r="W11" s="149"/>
      <c r="X11" s="148"/>
      <c r="Y11" s="148"/>
      <c r="Z11" s="148"/>
      <c r="AA11" s="148"/>
      <c r="AB11" s="148"/>
      <c r="AC11" s="148"/>
      <c r="AD11" s="148"/>
      <c r="AE11" s="148"/>
      <c r="AF11" s="148"/>
      <c r="AG11" s="148"/>
    </row>
    <row r="12" spans="2:33" ht="15" customHeight="1">
      <c r="C12" s="1157" t="str">
        <f>IF(Indice_index!$Z$1=1,"Impostos indiretos","Indirect taxes")</f>
        <v>Indirect taxes</v>
      </c>
      <c r="D12" s="1155">
        <v>187.70404581</v>
      </c>
      <c r="E12" s="1155">
        <v>197.28065212000004</v>
      </c>
      <c r="F12" s="1156">
        <f t="shared" si="1"/>
        <v>5.1019711741822498</v>
      </c>
      <c r="G12" s="1155">
        <v>217.51121534999999</v>
      </c>
      <c r="H12" s="1155">
        <v>235.33443563</v>
      </c>
      <c r="I12" s="1156">
        <f t="shared" si="2"/>
        <v>8.1941615062563322</v>
      </c>
      <c r="J12" s="1158">
        <v>405.21526115999995</v>
      </c>
      <c r="K12" s="1158">
        <v>432.61508775000004</v>
      </c>
      <c r="L12" s="1156">
        <f t="shared" si="3"/>
        <v>6.7617953261590564</v>
      </c>
      <c r="M12" s="1156">
        <f t="shared" si="0"/>
        <v>2.7302021956918403</v>
      </c>
      <c r="N12" s="393"/>
      <c r="P12" s="246"/>
      <c r="Q12" s="145"/>
      <c r="R12" s="146"/>
      <c r="S12" s="147"/>
      <c r="T12" s="147"/>
      <c r="U12" s="147"/>
      <c r="V12" s="139"/>
      <c r="W12" s="149"/>
      <c r="X12" s="148"/>
      <c r="Y12" s="148"/>
      <c r="Z12" s="148"/>
      <c r="AA12" s="148"/>
      <c r="AB12" s="148"/>
      <c r="AC12" s="148"/>
      <c r="AD12" s="148"/>
      <c r="AE12" s="148"/>
      <c r="AF12" s="148"/>
      <c r="AG12" s="148"/>
    </row>
    <row r="13" spans="2:33" ht="15" customHeight="1">
      <c r="C13" s="790" t="str">
        <f>IF(Indice_index!$Z$1=1,"Contribuições para Segurança Social, CGA e ADSE","Social security, CGA and ADSE contributions")</f>
        <v>Social security, CGA and ADSE contributions</v>
      </c>
      <c r="D13" s="1155">
        <v>0</v>
      </c>
      <c r="E13" s="1155">
        <v>0</v>
      </c>
      <c r="F13" s="1156">
        <f t="shared" si="1"/>
        <v>0</v>
      </c>
      <c r="G13" s="1155">
        <v>0</v>
      </c>
      <c r="H13" s="1155">
        <v>0</v>
      </c>
      <c r="I13" s="1156">
        <f t="shared" si="2"/>
        <v>0</v>
      </c>
      <c r="J13" s="1155">
        <v>0</v>
      </c>
      <c r="K13" s="1155">
        <v>0</v>
      </c>
      <c r="L13" s="1156">
        <f t="shared" si="3"/>
        <v>0</v>
      </c>
      <c r="M13" s="1156">
        <f t="shared" si="0"/>
        <v>0</v>
      </c>
      <c r="N13" s="393"/>
      <c r="P13" s="246"/>
      <c r="Q13" s="145"/>
      <c r="R13" s="146"/>
      <c r="S13" s="147"/>
      <c r="T13" s="147"/>
      <c r="U13" s="147"/>
      <c r="V13" s="139"/>
      <c r="W13" s="149"/>
      <c r="X13" s="148"/>
      <c r="Y13" s="148"/>
      <c r="Z13" s="148"/>
      <c r="AA13" s="148"/>
      <c r="AB13" s="148"/>
      <c r="AC13" s="148"/>
      <c r="AD13" s="148"/>
      <c r="AE13" s="148"/>
      <c r="AF13" s="148"/>
      <c r="AG13" s="148"/>
    </row>
    <row r="14" spans="2:33" ht="15" customHeight="1">
      <c r="C14" s="1154" t="str">
        <f>IF(Indice_index!$Z$1=1,"Transferências correntes","Current transfers")</f>
        <v>Current transfers</v>
      </c>
      <c r="D14" s="1155">
        <v>125.73029736000004</v>
      </c>
      <c r="E14" s="1155">
        <v>117.69926126000007</v>
      </c>
      <c r="F14" s="1156">
        <f t="shared" si="1"/>
        <v>-6.3875106228413063</v>
      </c>
      <c r="G14" s="1155">
        <v>102.21784968999998</v>
      </c>
      <c r="H14" s="1155">
        <v>103.64797668000006</v>
      </c>
      <c r="I14" s="1156">
        <f t="shared" si="2"/>
        <v>1.399097118886063</v>
      </c>
      <c r="J14" s="1155">
        <v>227.94814705000002</v>
      </c>
      <c r="K14" s="1155">
        <v>221.34723794000013</v>
      </c>
      <c r="L14" s="1156">
        <f t="shared" si="3"/>
        <v>-2.8957941511812297</v>
      </c>
      <c r="M14" s="1156">
        <f t="shared" si="0"/>
        <v>-0.65773469355682934</v>
      </c>
      <c r="N14" s="393"/>
      <c r="P14" s="246"/>
      <c r="Q14" s="145"/>
      <c r="R14" s="146"/>
      <c r="S14" s="147"/>
      <c r="T14" s="147"/>
      <c r="U14" s="147"/>
      <c r="V14" s="139"/>
      <c r="W14" s="149"/>
      <c r="X14" s="148"/>
      <c r="Y14" s="148"/>
      <c r="Z14" s="148"/>
      <c r="AA14" s="148"/>
      <c r="AB14" s="148"/>
      <c r="AC14" s="148"/>
      <c r="AD14" s="148"/>
      <c r="AE14" s="148"/>
      <c r="AF14" s="148"/>
      <c r="AG14" s="148"/>
    </row>
    <row r="15" spans="2:33" ht="15" customHeight="1">
      <c r="C15" s="1157" t="str">
        <f>IF(Indice_index!$Z$1=1,"Administração Central","Central Administration")</f>
        <v>Central Administration</v>
      </c>
      <c r="D15" s="1155">
        <v>98.26421508</v>
      </c>
      <c r="E15" s="1155">
        <v>98.696387729999984</v>
      </c>
      <c r="F15" s="1156">
        <f t="shared" si="1"/>
        <v>0.43980674923026519</v>
      </c>
      <c r="G15" s="1155">
        <v>93.359527489999991</v>
      </c>
      <c r="H15" s="1155">
        <v>93.296426439999991</v>
      </c>
      <c r="I15" s="1156">
        <f t="shared" si="2"/>
        <v>-6.7589298806979448E-2</v>
      </c>
      <c r="J15" s="1155">
        <v>191.62374256999999</v>
      </c>
      <c r="K15" s="1155">
        <v>191.99281416999997</v>
      </c>
      <c r="L15" s="1156">
        <f t="shared" si="3"/>
        <v>0.19260222926976928</v>
      </c>
      <c r="M15" s="1156">
        <f t="shared" si="0"/>
        <v>3.6775418609956E-2</v>
      </c>
      <c r="N15" s="393"/>
      <c r="P15" s="246"/>
      <c r="Q15" s="145"/>
      <c r="R15" s="146"/>
      <c r="S15" s="147"/>
      <c r="T15" s="147"/>
      <c r="U15" s="147"/>
      <c r="V15" s="139"/>
      <c r="W15" s="149"/>
      <c r="X15" s="148"/>
      <c r="Y15" s="148"/>
      <c r="Z15" s="148"/>
      <c r="AA15" s="148"/>
      <c r="AB15" s="148"/>
      <c r="AC15" s="148"/>
      <c r="AD15" s="148"/>
      <c r="AE15" s="148"/>
      <c r="AF15" s="148"/>
      <c r="AG15" s="148"/>
    </row>
    <row r="16" spans="2:33" ht="15" customHeight="1">
      <c r="C16" s="1159" t="str">
        <f>IF(Indice_index!$Z$1=1,"dos quais:","of which:")</f>
        <v>of which:</v>
      </c>
      <c r="D16" s="1155"/>
      <c r="E16" s="1155"/>
      <c r="F16" s="1156"/>
      <c r="G16" s="1155"/>
      <c r="H16" s="1155"/>
      <c r="I16" s="1156"/>
      <c r="J16" s="1155"/>
      <c r="K16" s="1155"/>
      <c r="L16" s="1156"/>
      <c r="M16" s="1156"/>
      <c r="N16" s="393"/>
      <c r="P16" s="246"/>
      <c r="Q16" s="145"/>
      <c r="R16" s="146"/>
      <c r="S16" s="147"/>
      <c r="T16" s="147"/>
      <c r="U16" s="147"/>
      <c r="V16" s="139"/>
      <c r="W16" s="149"/>
      <c r="X16" s="148"/>
      <c r="Y16" s="148"/>
      <c r="Z16" s="148"/>
      <c r="AA16" s="148"/>
      <c r="AB16" s="148"/>
      <c r="AC16" s="148"/>
      <c r="AD16" s="148"/>
      <c r="AE16" s="148"/>
      <c r="AF16" s="148"/>
      <c r="AG16" s="148"/>
    </row>
    <row r="17" spans="3:33" ht="15" customHeight="1">
      <c r="C17" s="1160" t="str">
        <f>IF(Indice_index!$Z$1=1,"Transferências do OE","State Budget tranfers")</f>
        <v>State Budget tranfers</v>
      </c>
      <c r="D17" s="1155">
        <v>97.404165500000005</v>
      </c>
      <c r="E17" s="1155">
        <v>97.360081500000007</v>
      </c>
      <c r="F17" s="1156">
        <f t="shared" si="1"/>
        <v>-4.5258844705155871E-2</v>
      </c>
      <c r="G17" s="1155">
        <v>93.359527489999991</v>
      </c>
      <c r="H17" s="1155">
        <v>93.296326440000001</v>
      </c>
      <c r="I17" s="1156">
        <f t="shared" si="2"/>
        <v>-6.7696411602724715E-2</v>
      </c>
      <c r="J17" s="1155">
        <v>190.76369298999998</v>
      </c>
      <c r="K17" s="1155">
        <v>190.65640794000001</v>
      </c>
      <c r="L17" s="1156">
        <f t="shared" si="3"/>
        <v>-5.623976361455589E-2</v>
      </c>
      <c r="M17" s="1156">
        <f>(K17-J17)/J15*100</f>
        <v>-5.598734716329945E-2</v>
      </c>
      <c r="N17" s="393"/>
      <c r="P17" s="246"/>
      <c r="Q17" s="145"/>
      <c r="R17" s="146"/>
      <c r="S17" s="147"/>
      <c r="T17" s="147"/>
      <c r="U17" s="147"/>
      <c r="V17" s="139"/>
      <c r="W17" s="149"/>
      <c r="X17" s="148"/>
      <c r="Y17" s="148"/>
      <c r="Z17" s="148"/>
      <c r="AA17" s="148"/>
      <c r="AB17" s="148"/>
      <c r="AC17" s="148"/>
      <c r="AD17" s="148"/>
      <c r="AE17" s="148"/>
      <c r="AF17" s="148"/>
      <c r="AG17" s="148"/>
    </row>
    <row r="18" spans="3:33" ht="15" customHeight="1">
      <c r="C18" s="1157" t="str">
        <f>IF(Indice_index!$Z$1=1,"Outros subsectores das AP","Other General Government subsectors")</f>
        <v>Other General Government subsectors</v>
      </c>
      <c r="D18" s="1155">
        <v>4.9201439000000002</v>
      </c>
      <c r="E18" s="1155">
        <v>4.8651208900000009</v>
      </c>
      <c r="F18" s="1156">
        <f t="shared" si="1"/>
        <v>-1.1183211531678843</v>
      </c>
      <c r="G18" s="1155">
        <v>0.70262006999999993</v>
      </c>
      <c r="H18" s="1155">
        <v>0.45146073999999997</v>
      </c>
      <c r="I18" s="1156">
        <f t="shared" si="2"/>
        <v>-35.746108134941259</v>
      </c>
      <c r="J18" s="1155">
        <v>5.6227639700000003</v>
      </c>
      <c r="K18" s="1155">
        <v>5.3165816300000008</v>
      </c>
      <c r="L18" s="1156">
        <f t="shared" si="3"/>
        <v>-5.4454062385264841</v>
      </c>
      <c r="M18" s="1156">
        <f t="shared" si="0"/>
        <v>-3.0508941149837453E-2</v>
      </c>
      <c r="N18" s="393"/>
      <c r="P18" s="246"/>
      <c r="Q18" s="145"/>
      <c r="R18" s="146"/>
      <c r="S18" s="147"/>
      <c r="T18" s="147"/>
      <c r="U18" s="147"/>
      <c r="V18" s="139"/>
      <c r="W18" s="149"/>
      <c r="X18" s="148"/>
      <c r="Y18" s="148"/>
      <c r="Z18" s="148"/>
      <c r="AA18" s="148"/>
      <c r="AB18" s="148"/>
      <c r="AC18" s="148"/>
      <c r="AD18" s="148"/>
      <c r="AE18" s="148"/>
      <c r="AF18" s="148"/>
      <c r="AG18" s="148"/>
    </row>
    <row r="19" spans="3:33" ht="15" customHeight="1">
      <c r="C19" s="1157" t="str">
        <f>IF(Indice_index!$Z$1=1,"União Europeia","European Union")</f>
        <v>European Union</v>
      </c>
      <c r="D19" s="1155">
        <v>16.469049180000003</v>
      </c>
      <c r="E19" s="1155">
        <v>7.4138505300000004</v>
      </c>
      <c r="F19" s="1156">
        <f t="shared" si="1"/>
        <v>-54.983129572511238</v>
      </c>
      <c r="G19" s="1155">
        <v>8.1136082099999989</v>
      </c>
      <c r="H19" s="1155">
        <v>9.8669317499999991</v>
      </c>
      <c r="I19" s="1156">
        <f t="shared" si="2"/>
        <v>21.609664832460531</v>
      </c>
      <c r="J19" s="1155">
        <v>24.582657390000001</v>
      </c>
      <c r="K19" s="1155">
        <v>17.28078228</v>
      </c>
      <c r="L19" s="1156">
        <f t="shared" si="3"/>
        <v>-29.703359543913006</v>
      </c>
      <c r="M19" s="1156">
        <f t="shared" si="0"/>
        <v>-0.72758108130747623</v>
      </c>
      <c r="N19" s="393"/>
      <c r="P19" s="246"/>
      <c r="Q19" s="145"/>
      <c r="R19" s="146"/>
      <c r="S19" s="147"/>
      <c r="T19" s="147"/>
      <c r="U19" s="147"/>
      <c r="V19" s="139"/>
      <c r="W19" s="149"/>
      <c r="X19" s="148"/>
      <c r="Y19" s="148"/>
      <c r="Z19" s="148"/>
      <c r="AA19" s="148"/>
      <c r="AB19" s="148"/>
      <c r="AC19" s="148"/>
      <c r="AD19" s="148"/>
      <c r="AE19" s="148"/>
      <c r="AF19" s="148"/>
      <c r="AG19" s="148"/>
    </row>
    <row r="20" spans="3:33" ht="15" customHeight="1">
      <c r="C20" s="1157" t="str">
        <f>IF(Indice_index!$Z$1=1,"Outras transferências","Other transfers")</f>
        <v>Other transfers</v>
      </c>
      <c r="D20" s="1155">
        <v>6.0768892000000356</v>
      </c>
      <c r="E20" s="1155">
        <v>6.7239021100000871</v>
      </c>
      <c r="F20" s="1156">
        <f t="shared" si="1"/>
        <v>10.647107240330261</v>
      </c>
      <c r="G20" s="1155">
        <v>4.2093919999990348E-2</v>
      </c>
      <c r="H20" s="1155">
        <v>3.3157750000066599E-2</v>
      </c>
      <c r="I20" s="1156">
        <f t="shared" si="2"/>
        <v>-21.229122875526439</v>
      </c>
      <c r="J20" s="1155">
        <v>6.118983120000026</v>
      </c>
      <c r="K20" s="1155">
        <v>6.7570598600001537</v>
      </c>
      <c r="L20" s="1156">
        <f t="shared" si="3"/>
        <v>10.427823177262253</v>
      </c>
      <c r="M20" s="1156">
        <f t="shared" si="0"/>
        <v>6.3579910290528396E-2</v>
      </c>
      <c r="N20" s="393"/>
      <c r="P20" s="246"/>
      <c r="Q20" s="145"/>
      <c r="R20" s="146"/>
      <c r="S20" s="147"/>
      <c r="T20" s="147"/>
      <c r="U20" s="147"/>
      <c r="V20" s="139"/>
      <c r="W20" s="149"/>
      <c r="X20" s="148"/>
      <c r="Y20" s="148"/>
      <c r="Z20" s="148"/>
      <c r="AA20" s="148"/>
      <c r="AB20" s="148"/>
      <c r="AC20" s="148"/>
      <c r="AD20" s="148"/>
      <c r="AE20" s="148"/>
      <c r="AF20" s="148"/>
      <c r="AG20" s="148"/>
    </row>
    <row r="21" spans="3:33" ht="15" customHeight="1">
      <c r="C21" s="1154" t="str">
        <f>IF(Indice_index!$Z$1=1,"Outras receitas correntes","Other current revenue")</f>
        <v>Other current revenue</v>
      </c>
      <c r="D21" s="1155">
        <v>89.474357949999998</v>
      </c>
      <c r="E21" s="1155">
        <v>20.728174470000003</v>
      </c>
      <c r="F21" s="1156">
        <f t="shared" si="1"/>
        <v>-76.833391214069053</v>
      </c>
      <c r="G21" s="1155">
        <v>25.244558819999991</v>
      </c>
      <c r="H21" s="1155">
        <v>40.976056790000001</v>
      </c>
      <c r="I21" s="1155">
        <f t="shared" si="2"/>
        <v>62.316390958422055</v>
      </c>
      <c r="J21" s="1155">
        <v>114.71891676999999</v>
      </c>
      <c r="K21" s="1155">
        <v>61.70423126</v>
      </c>
      <c r="L21" s="1156">
        <f t="shared" si="3"/>
        <v>-46.2126796544716</v>
      </c>
      <c r="M21" s="1156">
        <f t="shared" si="0"/>
        <v>-5.282544774795741</v>
      </c>
      <c r="N21" s="393"/>
      <c r="P21" s="246"/>
      <c r="Q21" s="145"/>
      <c r="R21" s="146"/>
      <c r="S21" s="147"/>
      <c r="T21" s="147"/>
      <c r="U21" s="147"/>
      <c r="V21" s="139"/>
      <c r="W21" s="149"/>
      <c r="X21" s="148"/>
      <c r="Y21" s="148"/>
      <c r="Z21" s="148"/>
      <c r="AA21" s="148"/>
      <c r="AB21" s="148"/>
      <c r="AC21" s="148"/>
      <c r="AD21" s="148"/>
      <c r="AE21" s="148"/>
      <c r="AF21" s="148"/>
      <c r="AG21" s="148"/>
    </row>
    <row r="22" spans="3:33" s="152" customFormat="1" ht="15" customHeight="1">
      <c r="C22" s="1154" t="str">
        <f>IF(Indice_index!$Z$1=1,"Diferenças de consolidação","Consolidation differences")</f>
        <v>Consolidation differences</v>
      </c>
      <c r="D22" s="1155">
        <v>0</v>
      </c>
      <c r="E22" s="1155">
        <v>0</v>
      </c>
      <c r="F22" s="1156"/>
      <c r="G22" s="1155">
        <v>5.3986229999850366E-2</v>
      </c>
      <c r="H22" s="1155">
        <v>3.6613416499999403</v>
      </c>
      <c r="I22" s="1161"/>
      <c r="J22" s="1155">
        <v>5.3986229999850366E-2</v>
      </c>
      <c r="K22" s="1155">
        <v>3.4663416500000039</v>
      </c>
      <c r="L22" s="1156"/>
      <c r="M22" s="1156"/>
      <c r="N22" s="393"/>
      <c r="O22" s="247"/>
      <c r="P22" s="246"/>
      <c r="Q22" s="145"/>
      <c r="R22" s="146"/>
      <c r="S22" s="147"/>
      <c r="T22" s="147"/>
      <c r="U22" s="147"/>
      <c r="V22" s="150"/>
      <c r="W22" s="151"/>
      <c r="X22" s="148"/>
      <c r="Y22" s="148"/>
      <c r="Z22" s="148"/>
      <c r="AA22" s="148"/>
      <c r="AB22" s="148"/>
      <c r="AC22" s="148"/>
      <c r="AD22" s="148"/>
      <c r="AE22" s="148"/>
      <c r="AF22" s="148"/>
      <c r="AG22" s="148"/>
    </row>
    <row r="23" spans="3:33" s="300" customFormat="1" ht="15" customHeight="1">
      <c r="C23" s="1162" t="str">
        <f>IF(Indice_index!$Z$1=1,"Receita de capital","Capital revenue")</f>
        <v>Capital revenue</v>
      </c>
      <c r="D23" s="1163">
        <v>79.458916499999987</v>
      </c>
      <c r="E23" s="1163">
        <v>69.007406370000027</v>
      </c>
      <c r="F23" s="303">
        <f t="shared" si="1"/>
        <v>-13.153350926953506</v>
      </c>
      <c r="G23" s="1163">
        <v>42.780967069999996</v>
      </c>
      <c r="H23" s="1163">
        <v>31.819622049999978</v>
      </c>
      <c r="I23" s="303">
        <f t="shared" si="2"/>
        <v>-25.622013177179021</v>
      </c>
      <c r="J23" s="1163">
        <v>122.23988356999999</v>
      </c>
      <c r="K23" s="1163">
        <v>100.82702841999999</v>
      </c>
      <c r="L23" s="303">
        <f t="shared" si="3"/>
        <v>-17.517077507471647</v>
      </c>
      <c r="M23" s="303">
        <f>IFERROR((K23-J23)/$J$35*100,"-")</f>
        <v>-2.13364212195042</v>
      </c>
      <c r="N23" s="392"/>
      <c r="O23" s="301"/>
      <c r="P23" s="304"/>
      <c r="Q23" s="305"/>
      <c r="R23" s="306"/>
      <c r="S23" s="307"/>
      <c r="T23" s="307"/>
      <c r="U23" s="307"/>
      <c r="V23" s="302"/>
      <c r="W23" s="308"/>
      <c r="X23" s="148"/>
      <c r="Y23" s="148"/>
      <c r="Z23" s="148"/>
      <c r="AA23" s="148"/>
      <c r="AB23" s="148"/>
      <c r="AC23" s="148"/>
      <c r="AD23" s="148"/>
      <c r="AE23" s="148"/>
      <c r="AF23" s="148"/>
      <c r="AG23" s="148"/>
    </row>
    <row r="24" spans="3:33" ht="15" customHeight="1">
      <c r="C24" s="1154" t="str">
        <f>IF(Indice_index!$Z$1=1,"Venda de Bens de Investimento","Sale of investment goods")</f>
        <v>Sale of investment goods</v>
      </c>
      <c r="D24" s="1155">
        <v>0.13037341999999999</v>
      </c>
      <c r="E24" s="1155">
        <v>0.16231869000000002</v>
      </c>
      <c r="F24" s="1156">
        <f t="shared" si="1"/>
        <v>24.502900974753924</v>
      </c>
      <c r="G24" s="1155">
        <v>1.6679601399999999</v>
      </c>
      <c r="H24" s="1155">
        <v>1.7221133299999998</v>
      </c>
      <c r="I24" s="1156">
        <f t="shared" si="2"/>
        <v>3.2466717100325821</v>
      </c>
      <c r="J24" s="1155">
        <v>1.7983335599999999</v>
      </c>
      <c r="K24" s="1155">
        <v>1.8844320199999998</v>
      </c>
      <c r="L24" s="1156">
        <f t="shared" si="3"/>
        <v>4.7876802121181505</v>
      </c>
      <c r="M24" s="1156">
        <f t="shared" ref="M24:M26" si="4">IFERROR((K24-J24)/$J$35*100,"-")</f>
        <v>8.579112855534499E-3</v>
      </c>
      <c r="N24" s="393"/>
      <c r="P24" s="246"/>
      <c r="Q24" s="145"/>
      <c r="R24" s="146"/>
      <c r="S24" s="147"/>
      <c r="T24" s="147"/>
      <c r="U24" s="147"/>
      <c r="V24" s="139"/>
      <c r="W24" s="149"/>
      <c r="X24" s="148"/>
      <c r="Y24" s="148"/>
      <c r="Z24" s="148"/>
      <c r="AA24" s="148"/>
      <c r="AB24" s="148"/>
      <c r="AC24" s="148"/>
      <c r="AD24" s="148"/>
      <c r="AE24" s="148"/>
      <c r="AF24" s="148"/>
      <c r="AG24" s="148"/>
    </row>
    <row r="25" spans="3:33" ht="15" customHeight="1">
      <c r="C25" s="1154" t="str">
        <f>IF(Indice_index!$Z$1=1,"Transferências de capital","Capital transfers")</f>
        <v>Capital transfers</v>
      </c>
      <c r="D25" s="1155">
        <v>79.250797789999993</v>
      </c>
      <c r="E25" s="1155">
        <v>68.680826420000017</v>
      </c>
      <c r="F25" s="1156">
        <f t="shared" si="1"/>
        <v>-13.33736904202334</v>
      </c>
      <c r="G25" s="1155">
        <v>41.107267379999996</v>
      </c>
      <c r="H25" s="1155">
        <v>30.068010430000001</v>
      </c>
      <c r="I25" s="1156">
        <f t="shared" si="2"/>
        <v>-26.854757451892674</v>
      </c>
      <c r="J25" s="1155">
        <v>120.35806516999999</v>
      </c>
      <c r="K25" s="1155">
        <v>98.748836850000018</v>
      </c>
      <c r="L25" s="1156">
        <f t="shared" si="3"/>
        <v>-17.954117399177175</v>
      </c>
      <c r="M25" s="1156">
        <f t="shared" si="4"/>
        <v>-2.153209342865043</v>
      </c>
      <c r="N25" s="393"/>
      <c r="P25" s="246"/>
      <c r="Q25" s="145"/>
      <c r="R25" s="146"/>
      <c r="S25" s="147"/>
      <c r="T25" s="147"/>
      <c r="U25" s="147"/>
      <c r="V25" s="139"/>
      <c r="W25" s="149"/>
      <c r="X25" s="148"/>
      <c r="Y25" s="148"/>
      <c r="Z25" s="148"/>
      <c r="AA25" s="148"/>
      <c r="AB25" s="148"/>
      <c r="AC25" s="148"/>
      <c r="AD25" s="148"/>
      <c r="AE25" s="148"/>
      <c r="AF25" s="148"/>
      <c r="AG25" s="148"/>
    </row>
    <row r="26" spans="3:33" ht="15" customHeight="1">
      <c r="C26" s="1157" t="str">
        <f>IF(Indice_index!$Z$1=1,"Administração Central","Central Administration")</f>
        <v>Central Administration</v>
      </c>
      <c r="D26" s="1155">
        <v>53.58417146</v>
      </c>
      <c r="E26" s="1155">
        <v>53.583068020000006</v>
      </c>
      <c r="F26" s="1156">
        <f t="shared" si="1"/>
        <v>-2.0592648349858304E-3</v>
      </c>
      <c r="G26" s="1155">
        <v>23.260326399999997</v>
      </c>
      <c r="H26" s="1155">
        <v>23.923473680000001</v>
      </c>
      <c r="I26" s="1156">
        <f t="shared" si="2"/>
        <v>2.850980113503498</v>
      </c>
      <c r="J26" s="1155">
        <v>76.84449785999999</v>
      </c>
      <c r="K26" s="1155">
        <v>77.506541700000014</v>
      </c>
      <c r="L26" s="1156">
        <f t="shared" si="3"/>
        <v>0.86153707609121988</v>
      </c>
      <c r="M26" s="1156">
        <f t="shared" si="4"/>
        <v>6.596806515089397E-2</v>
      </c>
      <c r="N26" s="393"/>
      <c r="P26" s="246"/>
      <c r="Q26" s="145"/>
      <c r="R26" s="146"/>
      <c r="S26" s="147"/>
      <c r="T26" s="147"/>
      <c r="U26" s="147"/>
      <c r="V26" s="139"/>
      <c r="W26" s="149"/>
      <c r="X26" s="148"/>
      <c r="Y26" s="148"/>
      <c r="Z26" s="148"/>
      <c r="AA26" s="148"/>
      <c r="AB26" s="148"/>
      <c r="AC26" s="148"/>
      <c r="AD26" s="148"/>
      <c r="AE26" s="148"/>
      <c r="AF26" s="148"/>
      <c r="AG26" s="148"/>
    </row>
    <row r="27" spans="3:33" ht="15" customHeight="1">
      <c r="C27" s="1159" t="str">
        <f>IF(Indice_index!$Z$1=1,"dos quais:","of which:")</f>
        <v>of which:</v>
      </c>
      <c r="D27" s="1155"/>
      <c r="E27" s="1155"/>
      <c r="F27" s="1156"/>
      <c r="G27" s="1155"/>
      <c r="H27" s="1155"/>
      <c r="I27" s="1156"/>
      <c r="J27" s="1155"/>
      <c r="K27" s="1155"/>
      <c r="L27" s="1156"/>
      <c r="M27" s="1156"/>
      <c r="N27" s="393"/>
      <c r="P27" s="246"/>
      <c r="Q27" s="145"/>
      <c r="R27" s="146"/>
      <c r="S27" s="147"/>
      <c r="T27" s="147"/>
      <c r="U27" s="147"/>
      <c r="V27" s="139"/>
      <c r="W27" s="149"/>
      <c r="X27" s="148"/>
      <c r="Y27" s="148"/>
      <c r="Z27" s="148"/>
      <c r="AA27" s="148"/>
      <c r="AB27" s="148"/>
      <c r="AC27" s="148"/>
      <c r="AD27" s="148"/>
      <c r="AE27" s="148"/>
      <c r="AF27" s="148"/>
      <c r="AG27" s="148"/>
    </row>
    <row r="28" spans="3:33" ht="15" customHeight="1">
      <c r="C28" s="1160" t="str">
        <f>IF(Indice_index!$Z$1=1,"Transferências do OE","State Budget tranfers")</f>
        <v>State Budget tranfers</v>
      </c>
      <c r="D28" s="1155">
        <v>53.58417146</v>
      </c>
      <c r="E28" s="1155">
        <v>53.548045020000004</v>
      </c>
      <c r="F28" s="1156">
        <f t="shared" si="1"/>
        <v>-6.7419984326835686E-2</v>
      </c>
      <c r="G28" s="1155">
        <v>23.226030999999999</v>
      </c>
      <c r="H28" s="1155">
        <v>23.923473680000001</v>
      </c>
      <c r="I28" s="1156">
        <f t="shared" si="2"/>
        <v>3.0028491738429257</v>
      </c>
      <c r="J28" s="1155">
        <v>76.810202459999999</v>
      </c>
      <c r="K28" s="1155">
        <v>77.471518700000004</v>
      </c>
      <c r="L28" s="1156">
        <f t="shared" si="3"/>
        <v>0.86097447841566987</v>
      </c>
      <c r="M28" s="1156">
        <f>(K28-J28)/J26*100</f>
        <v>0.8605902288604077</v>
      </c>
      <c r="N28" s="393"/>
      <c r="P28" s="246"/>
      <c r="Q28" s="145"/>
      <c r="R28" s="146"/>
      <c r="S28" s="147"/>
      <c r="T28" s="147"/>
      <c r="U28" s="147"/>
      <c r="V28" s="139"/>
      <c r="W28" s="149"/>
      <c r="X28" s="148"/>
      <c r="Y28" s="148"/>
      <c r="Z28" s="148"/>
      <c r="AA28" s="148"/>
      <c r="AB28" s="148"/>
      <c r="AC28" s="148"/>
      <c r="AD28" s="148"/>
      <c r="AE28" s="148"/>
      <c r="AF28" s="148"/>
      <c r="AG28" s="148"/>
    </row>
    <row r="29" spans="3:33" ht="15" customHeight="1">
      <c r="C29" s="1157" t="str">
        <f>IF(Indice_index!$Z$1=1,"Outros subsectores das AP","Other General Government subsectors")</f>
        <v>Other General Government subsectors</v>
      </c>
      <c r="D29" s="1155">
        <v>-1.0658141036401503E-14</v>
      </c>
      <c r="E29" s="1155">
        <v>1.0231399061311208E-14</v>
      </c>
      <c r="F29" s="1156">
        <f t="shared" si="1"/>
        <v>-195.99609375</v>
      </c>
      <c r="G29" s="1155">
        <v>-3.6221026178395732E-15</v>
      </c>
      <c r="H29" s="1155">
        <v>-5.2459799742068935E-16</v>
      </c>
      <c r="I29" s="1156">
        <f t="shared" si="2"/>
        <v>-85.516754968869733</v>
      </c>
      <c r="J29" s="1155">
        <v>-1.4280243654241076E-14</v>
      </c>
      <c r="K29" s="1155">
        <v>9.7068010638905189E-15</v>
      </c>
      <c r="L29" s="1156">
        <f t="shared" si="3"/>
        <v>-167.97363755770164</v>
      </c>
      <c r="M29" s="1156">
        <f t="shared" ref="M29:M32" si="5">IFERROR((K29-J29)/$J$35*100,"-")</f>
        <v>2.3901422128526337E-15</v>
      </c>
      <c r="N29" s="393"/>
      <c r="P29" s="246"/>
      <c r="Q29" s="145"/>
      <c r="R29" s="146"/>
      <c r="S29" s="147"/>
      <c r="T29" s="147"/>
      <c r="U29" s="147"/>
      <c r="V29" s="139"/>
      <c r="W29" s="149"/>
      <c r="X29" s="148"/>
      <c r="Y29" s="148"/>
      <c r="Z29" s="148"/>
      <c r="AA29" s="148"/>
      <c r="AB29" s="148"/>
      <c r="AC29" s="148"/>
      <c r="AD29" s="148"/>
      <c r="AE29" s="148"/>
      <c r="AF29" s="148"/>
      <c r="AG29" s="148"/>
    </row>
    <row r="30" spans="3:33" s="155" customFormat="1" ht="15" customHeight="1">
      <c r="C30" s="1157" t="str">
        <f>IF(Indice_index!$Z$1=1,"União Europeia","European Union")</f>
        <v>European Union</v>
      </c>
      <c r="D30" s="1155">
        <v>25.666626330000003</v>
      </c>
      <c r="E30" s="1155">
        <v>15.0777584</v>
      </c>
      <c r="F30" s="1156">
        <f t="shared" si="1"/>
        <v>-41.25539443266598</v>
      </c>
      <c r="G30" s="1155">
        <v>17.773740980000003</v>
      </c>
      <c r="H30" s="1155">
        <v>6.1444837600000008</v>
      </c>
      <c r="I30" s="1156">
        <f t="shared" si="2"/>
        <v>-65.429428914745003</v>
      </c>
      <c r="J30" s="1155">
        <v>43.440367310000006</v>
      </c>
      <c r="K30" s="1155">
        <v>21.22224216</v>
      </c>
      <c r="L30" s="1156">
        <f t="shared" si="3"/>
        <v>-51.146264467440119</v>
      </c>
      <c r="M30" s="1156">
        <f t="shared" si="5"/>
        <v>-2.2138816780258286</v>
      </c>
      <c r="N30" s="393"/>
      <c r="O30" s="247"/>
      <c r="P30" s="246"/>
      <c r="Q30" s="145"/>
      <c r="R30" s="146"/>
      <c r="S30" s="147"/>
      <c r="T30" s="147"/>
      <c r="U30" s="147"/>
      <c r="V30" s="153"/>
      <c r="W30" s="154"/>
      <c r="X30" s="148"/>
      <c r="Y30" s="148"/>
      <c r="Z30" s="148"/>
      <c r="AA30" s="148"/>
      <c r="AB30" s="148"/>
      <c r="AC30" s="148"/>
      <c r="AD30" s="148"/>
      <c r="AE30" s="148"/>
      <c r="AF30" s="148"/>
      <c r="AG30" s="148"/>
    </row>
    <row r="31" spans="3:33" ht="15" customHeight="1">
      <c r="C31" s="1157" t="str">
        <f>IF(Indice_index!$Z$1=1,"Outras transferências","Other transfers")</f>
        <v>Other transfers</v>
      </c>
      <c r="D31" s="1155">
        <v>0</v>
      </c>
      <c r="E31" s="1155">
        <v>0.02</v>
      </c>
      <c r="F31" s="1156">
        <f t="shared" si="1"/>
        <v>0</v>
      </c>
      <c r="G31" s="1155">
        <v>7.3200000000000001E-2</v>
      </c>
      <c r="H31" s="1155">
        <v>5.2989999999999999E-5</v>
      </c>
      <c r="I31" s="1156">
        <f t="shared" si="2"/>
        <v>-99.927609289617479</v>
      </c>
      <c r="J31" s="1155">
        <v>7.3200000000000001E-2</v>
      </c>
      <c r="K31" s="1155">
        <v>2.005299E-2</v>
      </c>
      <c r="L31" s="1156">
        <f t="shared" si="3"/>
        <v>-72.605204918032783</v>
      </c>
      <c r="M31" s="1156">
        <f t="shared" si="5"/>
        <v>-5.2957299901092453E-3</v>
      </c>
      <c r="N31" s="393"/>
      <c r="P31" s="246"/>
      <c r="Q31" s="145"/>
      <c r="R31" s="146"/>
      <c r="S31" s="147"/>
      <c r="T31" s="147"/>
      <c r="U31" s="147"/>
      <c r="V31" s="139"/>
      <c r="W31" s="149"/>
      <c r="X31" s="148"/>
      <c r="Y31" s="148"/>
      <c r="Z31" s="148"/>
      <c r="AA31" s="148"/>
      <c r="AB31" s="148"/>
      <c r="AC31" s="148"/>
      <c r="AD31" s="148"/>
      <c r="AE31" s="148"/>
      <c r="AF31" s="148"/>
      <c r="AG31" s="148"/>
    </row>
    <row r="32" spans="3:33" ht="15" customHeight="1">
      <c r="C32" s="1154" t="str">
        <f>IF(Indice_index!$Z$1=1,"Outras receitas de capital","Other capital revenue")</f>
        <v>Other capital revenue</v>
      </c>
      <c r="D32" s="1155">
        <v>7.7745290000000009E-2</v>
      </c>
      <c r="E32" s="1155">
        <v>0.16426125999999999</v>
      </c>
      <c r="F32" s="1156">
        <f t="shared" si="1"/>
        <v>111.28130077076048</v>
      </c>
      <c r="G32" s="1155">
        <v>5.7395500000000004E-3</v>
      </c>
      <c r="H32" s="1155">
        <v>2.659533E-2</v>
      </c>
      <c r="I32" s="1156">
        <f t="shared" si="2"/>
        <v>363.36960214650975</v>
      </c>
      <c r="J32" s="1155">
        <v>8.3484840000000005E-2</v>
      </c>
      <c r="K32" s="1155">
        <v>0.19085658999999999</v>
      </c>
      <c r="L32" s="1156">
        <f t="shared" si="3"/>
        <v>128.6122725994324</v>
      </c>
      <c r="M32" s="1156">
        <f t="shared" si="5"/>
        <v>1.0698848280750173E-2</v>
      </c>
      <c r="N32" s="393"/>
      <c r="P32" s="246"/>
      <c r="Q32" s="145"/>
      <c r="R32" s="146"/>
      <c r="S32" s="147"/>
      <c r="T32" s="147"/>
      <c r="U32" s="147"/>
      <c r="V32" s="139"/>
      <c r="W32" s="149"/>
      <c r="X32" s="148"/>
      <c r="Y32" s="148"/>
      <c r="Z32" s="148"/>
      <c r="AA32" s="148"/>
      <c r="AB32" s="148"/>
      <c r="AC32" s="148"/>
      <c r="AD32" s="148"/>
      <c r="AE32" s="148"/>
      <c r="AF32" s="148"/>
      <c r="AG32" s="148"/>
    </row>
    <row r="33" spans="3:33" ht="15" customHeight="1">
      <c r="C33" s="1154" t="str">
        <f>IF(Indice_index!$Z$1=1,"Diferenças de consolidação","Consolidation differences")</f>
        <v>Consolidation differences</v>
      </c>
      <c r="D33" s="1155">
        <v>0</v>
      </c>
      <c r="E33" s="1155">
        <v>0</v>
      </c>
      <c r="F33" s="1156"/>
      <c r="G33" s="1155">
        <v>0</v>
      </c>
      <c r="H33" s="1155">
        <v>2.9029599999788047E-3</v>
      </c>
      <c r="I33" s="1156"/>
      <c r="J33" s="1155">
        <v>0</v>
      </c>
      <c r="K33" s="1155">
        <v>2.9029599999716993E-3</v>
      </c>
      <c r="L33" s="1156"/>
      <c r="M33" s="1156"/>
      <c r="N33" s="393"/>
      <c r="P33" s="246"/>
      <c r="Q33" s="145"/>
      <c r="R33" s="146"/>
      <c r="S33" s="147"/>
      <c r="T33" s="147"/>
      <c r="U33" s="147"/>
      <c r="V33" s="139"/>
      <c r="W33" s="149"/>
      <c r="X33" s="148"/>
      <c r="Y33" s="148"/>
      <c r="Z33" s="148"/>
      <c r="AA33" s="148"/>
      <c r="AB33" s="148"/>
      <c r="AC33" s="148"/>
      <c r="AD33" s="148"/>
      <c r="AE33" s="148"/>
      <c r="AF33" s="148"/>
      <c r="AG33" s="148"/>
    </row>
    <row r="34" spans="3:33" ht="4.5" customHeight="1">
      <c r="C34" s="1164"/>
      <c r="D34" s="1165"/>
      <c r="E34" s="1165"/>
      <c r="F34" s="157"/>
      <c r="G34" s="1165"/>
      <c r="H34" s="1165"/>
      <c r="I34" s="157"/>
      <c r="J34" s="1165"/>
      <c r="K34" s="1165"/>
      <c r="L34" s="157"/>
      <c r="M34" s="157"/>
      <c r="N34" s="393"/>
      <c r="P34" s="246"/>
      <c r="Q34" s="145"/>
      <c r="R34" s="146"/>
      <c r="S34" s="147"/>
      <c r="T34" s="147"/>
      <c r="U34" s="147"/>
      <c r="V34" s="139"/>
      <c r="W34" s="149"/>
      <c r="X34" s="148"/>
      <c r="Y34" s="148"/>
      <c r="Z34" s="148"/>
      <c r="AA34" s="148"/>
      <c r="AB34" s="148"/>
      <c r="AC34" s="148"/>
      <c r="AD34" s="148"/>
      <c r="AE34" s="148"/>
      <c r="AF34" s="148"/>
      <c r="AG34" s="148"/>
    </row>
    <row r="35" spans="3:33" s="300" customFormat="1" ht="15" customHeight="1">
      <c r="C35" s="1162" t="str">
        <f>IF(Indice_index!$Z$1=1,"Receita Efetiva","Effective revenue")</f>
        <v>Effective revenue</v>
      </c>
      <c r="D35" s="1166">
        <v>543.60839485000008</v>
      </c>
      <c r="E35" s="1166">
        <v>463.87377106000014</v>
      </c>
      <c r="F35" s="303">
        <f t="shared" si="1"/>
        <v>-14.667658657479235</v>
      </c>
      <c r="G35" s="1166">
        <v>459.97392711999981</v>
      </c>
      <c r="H35" s="1166">
        <v>495.94360454999998</v>
      </c>
      <c r="I35" s="303">
        <f t="shared" si="2"/>
        <v>7.8199383289427731</v>
      </c>
      <c r="J35" s="1166">
        <v>1003.5823219699997</v>
      </c>
      <c r="K35" s="1166">
        <v>959.62237561000029</v>
      </c>
      <c r="L35" s="303">
        <f t="shared" si="3"/>
        <v>-4.3803029803980085</v>
      </c>
      <c r="M35" s="303"/>
      <c r="N35" s="392"/>
      <c r="O35" s="301"/>
      <c r="P35" s="304"/>
      <c r="Q35" s="309"/>
      <c r="R35" s="306"/>
      <c r="S35" s="307"/>
      <c r="T35" s="307"/>
      <c r="U35" s="307"/>
      <c r="V35" s="302"/>
      <c r="W35" s="308"/>
      <c r="X35" s="148"/>
      <c r="Y35" s="148"/>
      <c r="Z35" s="148"/>
      <c r="AA35" s="148"/>
      <c r="AB35" s="148"/>
      <c r="AC35" s="148"/>
      <c r="AD35" s="148"/>
      <c r="AE35" s="148"/>
      <c r="AF35" s="148"/>
      <c r="AG35" s="148"/>
    </row>
    <row r="36" spans="3:33" ht="4.5" customHeight="1">
      <c r="C36" s="1164"/>
      <c r="D36" s="1165"/>
      <c r="E36" s="1165"/>
      <c r="F36" s="157"/>
      <c r="G36" s="1165"/>
      <c r="H36" s="1165"/>
      <c r="I36" s="157"/>
      <c r="J36" s="1165"/>
      <c r="K36" s="1165"/>
      <c r="L36" s="157"/>
      <c r="M36" s="157"/>
      <c r="N36" s="393"/>
      <c r="P36" s="246"/>
      <c r="Q36" s="145"/>
      <c r="R36" s="146"/>
      <c r="S36" s="147"/>
      <c r="T36" s="147"/>
      <c r="U36" s="147"/>
      <c r="V36" s="139"/>
      <c r="W36" s="149"/>
      <c r="X36" s="148"/>
      <c r="Y36" s="148"/>
      <c r="Z36" s="148"/>
      <c r="AA36" s="148"/>
      <c r="AB36" s="148"/>
      <c r="AC36" s="148"/>
      <c r="AD36" s="148"/>
      <c r="AE36" s="148"/>
      <c r="AF36" s="148"/>
      <c r="AG36" s="148"/>
    </row>
    <row r="37" spans="3:33" s="300" customFormat="1" ht="15" customHeight="1">
      <c r="C37" s="1162" t="str">
        <f>IF(Indice_index!$Z$1=1,"Despesa Corrente","Current expenditure")</f>
        <v>Current expenditure</v>
      </c>
      <c r="D37" s="1163">
        <v>434.46067571399931</v>
      </c>
      <c r="E37" s="1163">
        <v>452.74720673000144</v>
      </c>
      <c r="F37" s="303">
        <f t="shared" si="1"/>
        <v>4.2090186841305641</v>
      </c>
      <c r="G37" s="1163">
        <v>464.98346199999997</v>
      </c>
      <c r="H37" s="1163">
        <v>487.64790559000005</v>
      </c>
      <c r="I37" s="303">
        <f t="shared" si="2"/>
        <v>4.8742472458085135</v>
      </c>
      <c r="J37" s="1163">
        <v>899.44413771399923</v>
      </c>
      <c r="K37" s="1163">
        <v>940.20011232000149</v>
      </c>
      <c r="L37" s="303">
        <f t="shared" si="3"/>
        <v>4.5312402290581888</v>
      </c>
      <c r="M37" s="303">
        <f t="shared" ref="M37:M55" si="6">IFERROR((K37-J37)/$J$58*100,"-")</f>
        <v>3.8700788228546159</v>
      </c>
      <c r="N37" s="392"/>
      <c r="O37" s="301"/>
      <c r="P37" s="304"/>
      <c r="Q37" s="305"/>
      <c r="R37" s="306"/>
      <c r="S37" s="307"/>
      <c r="T37" s="307"/>
      <c r="U37" s="307"/>
      <c r="V37" s="302"/>
      <c r="W37" s="308"/>
      <c r="X37" s="148"/>
      <c r="Y37" s="148"/>
      <c r="Z37" s="148"/>
      <c r="AA37" s="148"/>
      <c r="AB37" s="148"/>
      <c r="AC37" s="148"/>
      <c r="AD37" s="148"/>
      <c r="AE37" s="148"/>
      <c r="AF37" s="148"/>
      <c r="AG37" s="148"/>
    </row>
    <row r="38" spans="3:33" ht="15" customHeight="1">
      <c r="C38" s="1154" t="str">
        <f>IF(Indice_index!$Z$1=1,"Despesas com o pessoal","Employees")</f>
        <v>Employees</v>
      </c>
      <c r="D38" s="1155">
        <v>212.06116884999997</v>
      </c>
      <c r="E38" s="1155">
        <v>226.45264975000001</v>
      </c>
      <c r="F38" s="1156">
        <f t="shared" si="1"/>
        <v>6.7864762691088192</v>
      </c>
      <c r="G38" s="1155">
        <v>231.57165492999999</v>
      </c>
      <c r="H38" s="1155">
        <v>245.35283125000007</v>
      </c>
      <c r="I38" s="1156">
        <f t="shared" si="2"/>
        <v>5.9511499039750255</v>
      </c>
      <c r="J38" s="1165">
        <v>443.63282377999997</v>
      </c>
      <c r="K38" s="1165">
        <v>471.8054810000001</v>
      </c>
      <c r="L38" s="1156">
        <f t="shared" si="3"/>
        <v>6.3504447168614186</v>
      </c>
      <c r="M38" s="1156">
        <f t="shared" si="6"/>
        <v>2.6752005109603596</v>
      </c>
      <c r="N38" s="393"/>
      <c r="P38" s="246"/>
      <c r="Q38" s="145"/>
      <c r="R38" s="146"/>
      <c r="S38" s="147"/>
      <c r="T38" s="147"/>
      <c r="U38" s="147"/>
      <c r="V38" s="139"/>
      <c r="W38" s="149"/>
      <c r="X38" s="148"/>
      <c r="Y38" s="148"/>
      <c r="Z38" s="148"/>
      <c r="AA38" s="148"/>
      <c r="AB38" s="148"/>
      <c r="AC38" s="148"/>
      <c r="AD38" s="148"/>
      <c r="AE38" s="148"/>
      <c r="AF38" s="148"/>
      <c r="AG38" s="148"/>
    </row>
    <row r="39" spans="3:33" ht="15" customHeight="1">
      <c r="C39" s="787" t="str">
        <f>IF(Indice_index!$Z$1=1,"Remunerações Certas e Permanentes","Certain and permanent wages")</f>
        <v>Certain and permanent wages</v>
      </c>
      <c r="D39" s="1155">
        <v>152.64089759999999</v>
      </c>
      <c r="E39" s="1155">
        <v>163.75311977000001</v>
      </c>
      <c r="F39" s="1156">
        <f t="shared" si="1"/>
        <v>7.2799769555338525</v>
      </c>
      <c r="G39" s="1155">
        <v>170.10425803000001</v>
      </c>
      <c r="H39" s="1155">
        <v>181.05448853000004</v>
      </c>
      <c r="I39" s="1156">
        <f t="shared" si="2"/>
        <v>6.43736413586356</v>
      </c>
      <c r="J39" s="1165">
        <v>322.74515563</v>
      </c>
      <c r="K39" s="1165">
        <v>344.80760830000008</v>
      </c>
      <c r="L39" s="1156">
        <f t="shared" si="3"/>
        <v>6.8358741518316748</v>
      </c>
      <c r="M39" s="1156">
        <f t="shared" si="6"/>
        <v>2.0949917572533008</v>
      </c>
      <c r="N39" s="393"/>
      <c r="P39" s="246"/>
      <c r="Q39" s="145"/>
      <c r="R39" s="146"/>
      <c r="S39" s="147"/>
      <c r="T39" s="147"/>
      <c r="U39" s="147"/>
      <c r="V39" s="139"/>
      <c r="W39" s="149"/>
      <c r="X39" s="148"/>
      <c r="Y39" s="148"/>
      <c r="Z39" s="148"/>
      <c r="AA39" s="148"/>
      <c r="AB39" s="148"/>
      <c r="AC39" s="148"/>
      <c r="AD39" s="148"/>
      <c r="AE39" s="148"/>
      <c r="AF39" s="148"/>
      <c r="AG39" s="148"/>
    </row>
    <row r="40" spans="3:33" ht="15" customHeight="1">
      <c r="C40" s="787" t="str">
        <f>IF(Indice_index!$Z$1=1,"Abonos Variáveis ou Eventuais","Variable or contingent bonuses")</f>
        <v>Variable or contingent bonuses</v>
      </c>
      <c r="D40" s="1155">
        <v>17.753056770000001</v>
      </c>
      <c r="E40" s="1155">
        <v>19.77347675</v>
      </c>
      <c r="F40" s="1156">
        <f t="shared" si="1"/>
        <v>11.380687879138684</v>
      </c>
      <c r="G40" s="1155">
        <v>21.029136759999997</v>
      </c>
      <c r="H40" s="1155">
        <v>22.063719249999998</v>
      </c>
      <c r="I40" s="1156">
        <f t="shared" si="2"/>
        <v>4.919757295829208</v>
      </c>
      <c r="J40" s="1165">
        <v>38.782193530000001</v>
      </c>
      <c r="K40" s="1165">
        <v>41.837195999999999</v>
      </c>
      <c r="L40" s="1156">
        <f t="shared" si="3"/>
        <v>7.8773328477070237</v>
      </c>
      <c r="M40" s="1156">
        <f t="shared" si="6"/>
        <v>0.29009489963648932</v>
      </c>
      <c r="N40" s="393"/>
      <c r="P40" s="246"/>
      <c r="Q40" s="145"/>
      <c r="R40" s="146"/>
      <c r="S40" s="147"/>
      <c r="T40" s="147"/>
      <c r="U40" s="147"/>
      <c r="V40" s="139"/>
      <c r="W40" s="149"/>
      <c r="X40" s="148"/>
      <c r="Y40" s="148"/>
      <c r="Z40" s="148"/>
      <c r="AA40" s="148"/>
      <c r="AB40" s="148"/>
      <c r="AC40" s="148"/>
      <c r="AD40" s="148"/>
      <c r="AE40" s="148"/>
      <c r="AF40" s="148"/>
      <c r="AG40" s="148"/>
    </row>
    <row r="41" spans="3:33" ht="15" customHeight="1">
      <c r="C41" s="787" t="str">
        <f>IF(Indice_index!$Z$1=1,"Segurança social","Social security")</f>
        <v>Social security</v>
      </c>
      <c r="D41" s="1155">
        <v>41.667214479999991</v>
      </c>
      <c r="E41" s="1155">
        <v>42.926053230000001</v>
      </c>
      <c r="F41" s="1156">
        <f t="shared" si="1"/>
        <v>3.0211732790639134</v>
      </c>
      <c r="G41" s="1155">
        <v>40.43826013999999</v>
      </c>
      <c r="H41" s="1155">
        <v>42.234623470000017</v>
      </c>
      <c r="I41" s="1156">
        <f t="shared" si="2"/>
        <v>4.4422369404145865</v>
      </c>
      <c r="J41" s="1165">
        <v>82.105474619999981</v>
      </c>
      <c r="K41" s="1165">
        <v>85.16067670000001</v>
      </c>
      <c r="L41" s="1156">
        <f t="shared" si="3"/>
        <v>3.7210698727948355</v>
      </c>
      <c r="M41" s="1156">
        <f t="shared" si="6"/>
        <v>0.29011385407056728</v>
      </c>
      <c r="N41" s="393"/>
      <c r="P41" s="246"/>
      <c r="Q41" s="145"/>
      <c r="R41" s="146"/>
      <c r="S41" s="147"/>
      <c r="T41" s="147"/>
      <c r="U41" s="147"/>
      <c r="V41" s="139"/>
      <c r="W41" s="149"/>
      <c r="X41" s="148"/>
      <c r="Y41" s="148"/>
      <c r="Z41" s="148"/>
      <c r="AA41" s="148"/>
      <c r="AB41" s="148"/>
      <c r="AC41" s="148"/>
      <c r="AD41" s="148"/>
      <c r="AE41" s="148"/>
      <c r="AF41" s="148"/>
      <c r="AG41" s="148"/>
    </row>
    <row r="42" spans="3:33" ht="15" customHeight="1">
      <c r="C42" s="1154" t="str">
        <f>IF(Indice_index!$Z$1=1,"Aquisição de bens e serviços","Purchase of goods and services")</f>
        <v>Purchase of goods and services</v>
      </c>
      <c r="D42" s="1155">
        <v>125.61161540400002</v>
      </c>
      <c r="E42" s="1155">
        <v>139.33479360999999</v>
      </c>
      <c r="F42" s="1156">
        <f t="shared" si="1"/>
        <v>10.925086953035846</v>
      </c>
      <c r="G42" s="1155">
        <v>138.30504371000004</v>
      </c>
      <c r="H42" s="1155">
        <v>138.58087818999999</v>
      </c>
      <c r="I42" s="1156">
        <f t="shared" si="2"/>
        <v>0.19943920525294168</v>
      </c>
      <c r="J42" s="1165">
        <v>263.91665911400003</v>
      </c>
      <c r="K42" s="1165">
        <v>277.91567179999998</v>
      </c>
      <c r="L42" s="1156">
        <f t="shared" si="3"/>
        <v>5.3043308190533818</v>
      </c>
      <c r="M42" s="1156">
        <f t="shared" si="6"/>
        <v>1.329308967843519</v>
      </c>
      <c r="N42" s="393"/>
      <c r="P42" s="246"/>
      <c r="Q42" s="145"/>
      <c r="R42" s="146"/>
      <c r="S42" s="147"/>
      <c r="T42" s="147"/>
      <c r="U42" s="147"/>
      <c r="V42" s="139"/>
      <c r="W42" s="149"/>
      <c r="X42" s="148"/>
      <c r="Y42" s="148"/>
      <c r="Z42" s="148"/>
      <c r="AA42" s="148"/>
      <c r="AB42" s="148"/>
      <c r="AC42" s="148"/>
      <c r="AD42" s="148"/>
      <c r="AE42" s="148"/>
      <c r="AF42" s="148"/>
      <c r="AG42" s="148"/>
    </row>
    <row r="43" spans="3:33" ht="15" customHeight="1">
      <c r="C43" s="1154" t="str">
        <f>IF(Indice_index!$Z$1=1,"Juros e outros encargos","Interests and other charges")</f>
        <v>Interests and other charges</v>
      </c>
      <c r="D43" s="1155">
        <v>13.968495750000001</v>
      </c>
      <c r="E43" s="1155">
        <v>14.337361049999995</v>
      </c>
      <c r="F43" s="1156">
        <f t="shared" si="1"/>
        <v>2.6406945071375647</v>
      </c>
      <c r="G43" s="1155">
        <v>22.628303750000004</v>
      </c>
      <c r="H43" s="1155">
        <v>35.231970480000001</v>
      </c>
      <c r="I43" s="1156">
        <f t="shared" si="2"/>
        <v>55.698681037901451</v>
      </c>
      <c r="J43" s="1165">
        <v>36.596799500000003</v>
      </c>
      <c r="K43" s="1165">
        <v>49.569331529999999</v>
      </c>
      <c r="L43" s="1156">
        <f t="shared" si="3"/>
        <v>35.447176275619391</v>
      </c>
      <c r="M43" s="1156">
        <f t="shared" si="6"/>
        <v>1.2318370980806423</v>
      </c>
      <c r="N43" s="393"/>
      <c r="P43" s="246"/>
      <c r="Q43" s="145"/>
      <c r="R43" s="146"/>
      <c r="S43" s="147"/>
      <c r="T43" s="147"/>
      <c r="U43" s="147"/>
      <c r="V43" s="139"/>
      <c r="W43" s="149"/>
      <c r="X43" s="148"/>
      <c r="Y43" s="148"/>
      <c r="Z43" s="148"/>
      <c r="AA43" s="148"/>
      <c r="AB43" s="148"/>
      <c r="AC43" s="148"/>
      <c r="AD43" s="148"/>
      <c r="AE43" s="148"/>
      <c r="AF43" s="148"/>
      <c r="AG43" s="148"/>
    </row>
    <row r="44" spans="3:33" ht="15" customHeight="1">
      <c r="C44" s="1154" t="str">
        <f>IF(Indice_index!$Z$1=1,"Transferências correntes","Current transfers")</f>
        <v>Current transfers</v>
      </c>
      <c r="D44" s="1155">
        <v>50.360017279999482</v>
      </c>
      <c r="E44" s="1155">
        <v>54.731007470001543</v>
      </c>
      <c r="F44" s="1156">
        <f t="shared" si="1"/>
        <v>8.679485087742421</v>
      </c>
      <c r="G44" s="1155">
        <v>54.310338179999974</v>
      </c>
      <c r="H44" s="1155">
        <v>53.92857508000003</v>
      </c>
      <c r="I44" s="1156">
        <f t="shared" si="2"/>
        <v>-0.70292896857808507</v>
      </c>
      <c r="J44" s="1165">
        <v>104.67035545999946</v>
      </c>
      <c r="K44" s="1165">
        <v>108.65958255000157</v>
      </c>
      <c r="L44" s="1156">
        <f t="shared" si="3"/>
        <v>3.8112291416901032</v>
      </c>
      <c r="M44" s="1156">
        <f t="shared" si="6"/>
        <v>0.37880638188201837</v>
      </c>
      <c r="N44" s="393"/>
      <c r="P44" s="246"/>
      <c r="Q44" s="145"/>
      <c r="R44" s="146"/>
      <c r="S44" s="147"/>
      <c r="T44" s="147"/>
      <c r="U44" s="147"/>
      <c r="V44" s="139"/>
      <c r="W44" s="149"/>
      <c r="X44" s="148"/>
      <c r="Y44" s="148"/>
      <c r="Z44" s="148"/>
      <c r="AA44" s="148"/>
      <c r="AB44" s="148"/>
      <c r="AC44" s="148"/>
      <c r="AD44" s="148"/>
      <c r="AE44" s="148"/>
      <c r="AF44" s="148"/>
      <c r="AG44" s="148"/>
    </row>
    <row r="45" spans="3:33" ht="15" customHeight="1">
      <c r="C45" s="1157" t="str">
        <f>IF(Indice_index!$Z$1=1,"Administrações Públicas","General Government")</f>
        <v>General Government</v>
      </c>
      <c r="D45" s="1155">
        <v>1.0217773800000742</v>
      </c>
      <c r="E45" s="1155">
        <v>2.0421024299999573</v>
      </c>
      <c r="F45" s="1156">
        <f t="shared" si="1"/>
        <v>99.857862384838555</v>
      </c>
      <c r="G45" s="1155">
        <v>0.68110538999998482</v>
      </c>
      <c r="H45" s="1155">
        <v>0.89558647000003333</v>
      </c>
      <c r="I45" s="1156">
        <f t="shared" si="2"/>
        <v>31.490145746762227</v>
      </c>
      <c r="J45" s="1165">
        <v>1.7028827700000591</v>
      </c>
      <c r="K45" s="1165">
        <v>2.9376888999999906</v>
      </c>
      <c r="L45" s="1156">
        <f t="shared" si="3"/>
        <v>72.512691522499154</v>
      </c>
      <c r="M45" s="1156">
        <f t="shared" si="6"/>
        <v>0.1172539020411503</v>
      </c>
      <c r="N45" s="393"/>
      <c r="P45" s="246"/>
      <c r="Q45" s="145"/>
      <c r="R45" s="146"/>
      <c r="S45" s="147"/>
      <c r="T45" s="147"/>
      <c r="U45" s="147"/>
      <c r="V45" s="139"/>
      <c r="W45" s="149"/>
      <c r="X45" s="148"/>
      <c r="Y45" s="148"/>
      <c r="Z45" s="148"/>
      <c r="AA45" s="148"/>
      <c r="AB45" s="148"/>
      <c r="AC45" s="148"/>
      <c r="AD45" s="148"/>
      <c r="AE45" s="148"/>
      <c r="AF45" s="148"/>
      <c r="AG45" s="148"/>
    </row>
    <row r="46" spans="3:33" ht="15" customHeight="1">
      <c r="C46" s="1157" t="str">
        <f>IF(Indice_index!$Z$1=1,"Outras transferências","Other transfers")</f>
        <v>Other transfers</v>
      </c>
      <c r="D46" s="1155">
        <v>49.338239899999408</v>
      </c>
      <c r="E46" s="1155">
        <v>52.688905040001586</v>
      </c>
      <c r="F46" s="1156">
        <f t="shared" si="1"/>
        <v>6.7912133606578422</v>
      </c>
      <c r="G46" s="1155">
        <v>53.629232789999989</v>
      </c>
      <c r="H46" s="1155">
        <v>53.032988609999997</v>
      </c>
      <c r="I46" s="1156">
        <f t="shared" si="2"/>
        <v>-1.1117895016972372</v>
      </c>
      <c r="J46" s="1165">
        <v>102.9674726899994</v>
      </c>
      <c r="K46" s="1165">
        <v>105.72189365000159</v>
      </c>
      <c r="L46" s="1156">
        <f t="shared" si="3"/>
        <v>2.6750398820556009</v>
      </c>
      <c r="M46" s="1156">
        <f t="shared" si="6"/>
        <v>0.26155247984086877</v>
      </c>
      <c r="N46" s="393"/>
      <c r="P46" s="246"/>
      <c r="Q46" s="145"/>
      <c r="R46" s="146"/>
      <c r="S46" s="147"/>
      <c r="T46" s="147"/>
      <c r="U46" s="147"/>
      <c r="V46" s="139"/>
      <c r="W46" s="149"/>
      <c r="X46" s="148"/>
      <c r="Y46" s="148"/>
      <c r="Z46" s="148"/>
      <c r="AA46" s="148"/>
      <c r="AB46" s="148"/>
      <c r="AC46" s="148"/>
      <c r="AD46" s="148"/>
      <c r="AE46" s="148"/>
      <c r="AF46" s="148"/>
      <c r="AG46" s="148"/>
    </row>
    <row r="47" spans="3:33" ht="15" customHeight="1">
      <c r="C47" s="1154" t="str">
        <f>IF(Indice_index!$Z$1=1,"Subsídios","Subsidies")</f>
        <v>Subsidies</v>
      </c>
      <c r="D47" s="1155">
        <v>26.8392680699998</v>
      </c>
      <c r="E47" s="1155">
        <v>11.25918655999995</v>
      </c>
      <c r="F47" s="1156">
        <f t="shared" si="1"/>
        <v>-58.049576722305773</v>
      </c>
      <c r="G47" s="1155">
        <v>16.944267329999999</v>
      </c>
      <c r="H47" s="1155">
        <v>12.517546040000001</v>
      </c>
      <c r="I47" s="1156">
        <f t="shared" si="2"/>
        <v>-26.12518560871878</v>
      </c>
      <c r="J47" s="1165">
        <v>43.783535399999799</v>
      </c>
      <c r="K47" s="1165">
        <v>23.776732599999953</v>
      </c>
      <c r="L47" s="1156">
        <f t="shared" si="3"/>
        <v>-45.694808829896225</v>
      </c>
      <c r="M47" s="1156">
        <f t="shared" si="6"/>
        <v>-1.8997927194189774</v>
      </c>
      <c r="N47" s="393"/>
      <c r="P47" s="246"/>
      <c r="Q47" s="145"/>
      <c r="R47" s="146"/>
      <c r="S47" s="147"/>
      <c r="T47" s="147"/>
      <c r="U47" s="147"/>
      <c r="V47" s="139"/>
      <c r="W47" s="149"/>
      <c r="X47" s="148"/>
      <c r="Y47" s="148"/>
      <c r="Z47" s="148"/>
      <c r="AA47" s="148"/>
      <c r="AB47" s="148"/>
      <c r="AC47" s="148"/>
      <c r="AD47" s="148"/>
      <c r="AE47" s="148"/>
      <c r="AF47" s="148"/>
      <c r="AG47" s="148"/>
    </row>
    <row r="48" spans="3:33" ht="15" customHeight="1">
      <c r="C48" s="1154" t="str">
        <f>IF(Indice_index!$Z$1=1,"Outras despesas correntes","Other current expenditure")</f>
        <v>Other current expenditure</v>
      </c>
      <c r="D48" s="1155">
        <v>5.62011036</v>
      </c>
      <c r="E48" s="1155">
        <v>6.4372082900000001</v>
      </c>
      <c r="F48" s="1156">
        <f t="shared" si="1"/>
        <v>14.538823575699322</v>
      </c>
      <c r="G48" s="1155">
        <v>1.2238541000000001</v>
      </c>
      <c r="H48" s="1155">
        <v>2.0361045500000001</v>
      </c>
      <c r="I48" s="1156">
        <f t="shared" si="2"/>
        <v>66.368241933413472</v>
      </c>
      <c r="J48" s="1165">
        <v>6.8439644600000005</v>
      </c>
      <c r="K48" s="1165">
        <v>8.4733128400000002</v>
      </c>
      <c r="L48" s="1156">
        <f t="shared" si="3"/>
        <v>23.807084176471594</v>
      </c>
      <c r="M48" s="1156">
        <f t="shared" si="6"/>
        <v>0.15471858350706233</v>
      </c>
      <c r="N48" s="393"/>
      <c r="P48" s="246"/>
      <c r="Q48" s="145"/>
      <c r="R48" s="146"/>
      <c r="S48" s="147"/>
      <c r="T48" s="147"/>
      <c r="U48" s="147"/>
      <c r="V48" s="139"/>
      <c r="W48" s="149"/>
      <c r="X48" s="148"/>
      <c r="Y48" s="148"/>
      <c r="Z48" s="148"/>
      <c r="AA48" s="148"/>
      <c r="AB48" s="148"/>
      <c r="AC48" s="148"/>
      <c r="AD48" s="148"/>
      <c r="AE48" s="148"/>
      <c r="AF48" s="148"/>
      <c r="AG48" s="148"/>
    </row>
    <row r="49" spans="3:33" ht="15" customHeight="1">
      <c r="C49" s="1154" t="str">
        <f>IF(Indice_index!$Z$1=1,"Diferenças de consolidação","Consolidation differences")</f>
        <v>Consolidation differences</v>
      </c>
      <c r="D49" s="1155">
        <v>0</v>
      </c>
      <c r="E49" s="1155">
        <v>0.19499999999999318</v>
      </c>
      <c r="F49" s="1156"/>
      <c r="G49" s="1155">
        <v>0</v>
      </c>
      <c r="H49" s="1155">
        <v>0</v>
      </c>
      <c r="I49" s="1156"/>
      <c r="J49" s="1155">
        <v>0</v>
      </c>
      <c r="K49" s="1155">
        <v>0</v>
      </c>
      <c r="L49" s="1155"/>
      <c r="M49" s="883">
        <f t="shared" si="6"/>
        <v>0</v>
      </c>
      <c r="N49" s="393"/>
      <c r="P49" s="246"/>
      <c r="Q49" s="145"/>
      <c r="R49" s="146"/>
      <c r="S49" s="147"/>
      <c r="T49" s="147"/>
      <c r="U49" s="147"/>
      <c r="V49" s="139"/>
      <c r="W49" s="149"/>
      <c r="X49" s="148"/>
      <c r="Y49" s="148"/>
      <c r="Z49" s="148"/>
      <c r="AA49" s="148"/>
      <c r="AB49" s="148"/>
      <c r="AC49" s="148"/>
      <c r="AD49" s="148"/>
      <c r="AE49" s="148"/>
      <c r="AF49" s="148"/>
      <c r="AG49" s="148"/>
    </row>
    <row r="50" spans="3:33" s="300" customFormat="1" ht="15" customHeight="1">
      <c r="C50" s="1162" t="str">
        <f>IF(Indice_index!$Z$1=1,"Despesa de Capital","Capital expenditure")</f>
        <v>Capital expenditure</v>
      </c>
      <c r="D50" s="1163">
        <v>109.82159333999999</v>
      </c>
      <c r="E50" s="1163">
        <v>104.23036474999999</v>
      </c>
      <c r="F50" s="303">
        <f t="shared" si="1"/>
        <v>-5.0911923784332158</v>
      </c>
      <c r="G50" s="1163">
        <v>43.838778480000002</v>
      </c>
      <c r="H50" s="1163">
        <v>69.907796959999985</v>
      </c>
      <c r="I50" s="303">
        <f t="shared" si="2"/>
        <v>59.465658907200428</v>
      </c>
      <c r="J50" s="1163">
        <v>153.66037181999999</v>
      </c>
      <c r="K50" s="1163">
        <v>174.13816170999996</v>
      </c>
      <c r="L50" s="303">
        <f t="shared" si="3"/>
        <v>13.326656474571044</v>
      </c>
      <c r="M50" s="303">
        <f t="shared" si="6"/>
        <v>1.94451639933262</v>
      </c>
      <c r="N50" s="392"/>
      <c r="O50" s="301"/>
      <c r="P50" s="304"/>
      <c r="Q50" s="305"/>
      <c r="R50" s="306"/>
      <c r="S50" s="307"/>
      <c r="T50" s="307"/>
      <c r="U50" s="307"/>
      <c r="V50" s="302"/>
      <c r="W50" s="308"/>
      <c r="X50" s="148"/>
      <c r="Y50" s="148"/>
      <c r="Z50" s="148"/>
      <c r="AA50" s="148"/>
      <c r="AB50" s="148"/>
      <c r="AC50" s="148"/>
      <c r="AD50" s="148"/>
      <c r="AE50" s="148"/>
      <c r="AF50" s="148"/>
      <c r="AG50" s="148"/>
    </row>
    <row r="51" spans="3:33" ht="15" customHeight="1">
      <c r="C51" s="1154" t="str">
        <f>IF(Indice_index!$Z$1=1,"Aquisição de bens de capital","Purchase of capital goods")</f>
        <v>Purchase of capital goods</v>
      </c>
      <c r="D51" s="1155">
        <v>12.87000121</v>
      </c>
      <c r="E51" s="1155">
        <v>19.61221827</v>
      </c>
      <c r="F51" s="1156">
        <f t="shared" si="1"/>
        <v>52.387074017998479</v>
      </c>
      <c r="G51" s="1155">
        <v>32.024033179999996</v>
      </c>
      <c r="H51" s="1155">
        <v>33.175274139999999</v>
      </c>
      <c r="I51" s="1156">
        <f t="shared" si="2"/>
        <v>3.5949280764516209</v>
      </c>
      <c r="J51" s="1165">
        <v>44.894034389999995</v>
      </c>
      <c r="K51" s="1165">
        <v>52.787492409999999</v>
      </c>
      <c r="L51" s="1156">
        <f t="shared" si="3"/>
        <v>17.582420754233322</v>
      </c>
      <c r="M51" s="1156">
        <f t="shared" si="6"/>
        <v>0.74954175473931595</v>
      </c>
      <c r="N51" s="393"/>
      <c r="P51" s="246"/>
      <c r="Q51" s="145"/>
      <c r="R51" s="146"/>
      <c r="S51" s="147"/>
      <c r="T51" s="147"/>
      <c r="U51" s="147"/>
      <c r="V51" s="139"/>
      <c r="W51" s="149"/>
      <c r="X51" s="148"/>
      <c r="Y51" s="148"/>
      <c r="Z51" s="148"/>
      <c r="AA51" s="148"/>
      <c r="AB51" s="148"/>
      <c r="AC51" s="148"/>
      <c r="AD51" s="148"/>
      <c r="AE51" s="148"/>
      <c r="AF51" s="148"/>
      <c r="AG51" s="148"/>
    </row>
    <row r="52" spans="3:33" ht="15" customHeight="1">
      <c r="C52" s="1154" t="str">
        <f>IF(Indice_index!$Z$1=1,"Transferências de capital","Capital transfers")</f>
        <v>Capital transfers</v>
      </c>
      <c r="D52" s="1155">
        <v>96.908302129999996</v>
      </c>
      <c r="E52" s="1155">
        <v>84.572731479999987</v>
      </c>
      <c r="F52" s="1156">
        <f t="shared" si="1"/>
        <v>-12.729116472861278</v>
      </c>
      <c r="G52" s="1155">
        <v>11.814745300000002</v>
      </c>
      <c r="H52" s="1155">
        <v>36.732522819999993</v>
      </c>
      <c r="I52" s="1156">
        <f t="shared" si="2"/>
        <v>210.90406003081577</v>
      </c>
      <c r="J52" s="1165">
        <v>108.72304742999999</v>
      </c>
      <c r="K52" s="1165">
        <v>121.30525429999997</v>
      </c>
      <c r="L52" s="1156">
        <f t="shared" si="3"/>
        <v>11.572713575841293</v>
      </c>
      <c r="M52" s="1156">
        <f t="shared" si="6"/>
        <v>1.1947728602517931</v>
      </c>
      <c r="N52" s="393"/>
      <c r="P52" s="246"/>
      <c r="Q52" s="145"/>
      <c r="R52" s="146"/>
      <c r="S52" s="147"/>
      <c r="T52" s="147"/>
      <c r="U52" s="147"/>
      <c r="V52" s="139"/>
      <c r="W52" s="149"/>
      <c r="X52" s="148"/>
      <c r="Y52" s="148"/>
      <c r="Z52" s="148"/>
      <c r="AA52" s="148"/>
      <c r="AB52" s="148"/>
      <c r="AC52" s="148"/>
      <c r="AD52" s="148"/>
      <c r="AE52" s="148"/>
      <c r="AF52" s="148"/>
      <c r="AG52" s="148"/>
    </row>
    <row r="53" spans="3:33" ht="15" customHeight="1">
      <c r="C53" s="1157" t="str">
        <f>IF(Indice_index!$Z$1=1,"Administrações Públicas","General Government")</f>
        <v>General Government</v>
      </c>
      <c r="D53" s="1155">
        <v>1.1956916400000068</v>
      </c>
      <c r="E53" s="1155">
        <v>4.5374803899999847</v>
      </c>
      <c r="F53" s="1156">
        <f t="shared" si="1"/>
        <v>279.48583382250285</v>
      </c>
      <c r="G53" s="1155">
        <v>1.7180083100000019</v>
      </c>
      <c r="H53" s="1155">
        <v>2.0936341599999864</v>
      </c>
      <c r="I53" s="1156">
        <f t="shared" si="2"/>
        <v>21.864029866071142</v>
      </c>
      <c r="J53" s="1165">
        <v>2.9136999500000087</v>
      </c>
      <c r="K53" s="1165">
        <v>6.6311145499999711</v>
      </c>
      <c r="L53" s="1156">
        <f t="shared" si="3"/>
        <v>127.58398818656502</v>
      </c>
      <c r="M53" s="1156">
        <f t="shared" si="6"/>
        <v>0.35299579161852851</v>
      </c>
      <c r="N53" s="393"/>
      <c r="P53" s="246"/>
      <c r="Q53" s="145"/>
      <c r="R53" s="146"/>
      <c r="S53" s="147"/>
      <c r="T53" s="147"/>
      <c r="U53" s="147"/>
      <c r="V53" s="139"/>
      <c r="W53" s="149"/>
      <c r="X53" s="148"/>
      <c r="Y53" s="148"/>
      <c r="Z53" s="148"/>
      <c r="AA53" s="148"/>
      <c r="AB53" s="148"/>
      <c r="AC53" s="148"/>
      <c r="AD53" s="148"/>
      <c r="AE53" s="148"/>
      <c r="AF53" s="148"/>
      <c r="AG53" s="148"/>
    </row>
    <row r="54" spans="3:33" ht="15" customHeight="1">
      <c r="C54" s="1157" t="str">
        <f>IF(Indice_index!$Z$1=1,"Outras transferências","Other transfers")</f>
        <v>Other transfers</v>
      </c>
      <c r="D54" s="1155">
        <v>95.712610489999989</v>
      </c>
      <c r="E54" s="1155">
        <v>80.035251090000003</v>
      </c>
      <c r="F54" s="1156">
        <f t="shared" si="1"/>
        <v>-16.379617398104454</v>
      </c>
      <c r="G54" s="1155">
        <v>10.09673699</v>
      </c>
      <c r="H54" s="1155">
        <v>34.638888660000006</v>
      </c>
      <c r="I54" s="1156">
        <f t="shared" si="2"/>
        <v>243.07012943198401</v>
      </c>
      <c r="J54" s="1165">
        <v>105.80934747999999</v>
      </c>
      <c r="K54" s="1165">
        <v>114.67413975000001</v>
      </c>
      <c r="L54" s="1156">
        <f t="shared" si="3"/>
        <v>8.3780804637091641</v>
      </c>
      <c r="M54" s="1156">
        <f t="shared" si="6"/>
        <v>0.8417770686332654</v>
      </c>
      <c r="N54" s="393"/>
      <c r="P54" s="246"/>
      <c r="Q54" s="145"/>
      <c r="R54" s="146"/>
      <c r="S54" s="147"/>
      <c r="T54" s="147"/>
      <c r="U54" s="147"/>
      <c r="V54" s="139"/>
      <c r="W54" s="149"/>
      <c r="X54" s="148"/>
      <c r="Y54" s="148"/>
      <c r="Z54" s="148"/>
      <c r="AA54" s="148"/>
      <c r="AB54" s="148"/>
      <c r="AC54" s="148"/>
      <c r="AD54" s="148"/>
      <c r="AE54" s="148"/>
      <c r="AF54" s="148"/>
      <c r="AG54" s="148"/>
    </row>
    <row r="55" spans="3:33" ht="15" customHeight="1">
      <c r="C55" s="1154" t="str">
        <f>IF(Indice_index!$Z$1=1,"Outras despesas de capital","Other capital expenditure")</f>
        <v>Other capital expenditure</v>
      </c>
      <c r="D55" s="1155">
        <v>4.3290000000000002E-2</v>
      </c>
      <c r="E55" s="1155">
        <v>4.5414999999999997E-2</v>
      </c>
      <c r="F55" s="1156">
        <f t="shared" si="1"/>
        <v>4.9087549087548972</v>
      </c>
      <c r="G55" s="1155">
        <v>0</v>
      </c>
      <c r="H55" s="1155">
        <v>0</v>
      </c>
      <c r="I55" s="1156">
        <f t="shared" si="2"/>
        <v>0</v>
      </c>
      <c r="J55" s="1165">
        <v>4.3290000000000002E-2</v>
      </c>
      <c r="K55" s="1165">
        <v>4.5414999999999997E-2</v>
      </c>
      <c r="L55" s="1156">
        <f t="shared" si="3"/>
        <v>4.9087549087548972</v>
      </c>
      <c r="M55" s="1156">
        <f t="shared" si="6"/>
        <v>2.0178434151234541E-4</v>
      </c>
      <c r="N55" s="393"/>
      <c r="P55" s="246"/>
      <c r="Q55" s="145"/>
      <c r="R55" s="146"/>
      <c r="S55" s="147"/>
      <c r="T55" s="147"/>
      <c r="U55" s="147"/>
      <c r="V55" s="139"/>
      <c r="W55" s="149"/>
      <c r="X55" s="148"/>
      <c r="Y55" s="148"/>
      <c r="Z55" s="148"/>
      <c r="AA55" s="148"/>
      <c r="AB55" s="148"/>
      <c r="AC55" s="148"/>
      <c r="AD55" s="148"/>
      <c r="AE55" s="148"/>
      <c r="AF55" s="148"/>
      <c r="AG55" s="148"/>
    </row>
    <row r="56" spans="3:33" s="152" customFormat="1" ht="15" customHeight="1">
      <c r="C56" s="1154" t="str">
        <f>IF(Indice_index!$Z$1=1,"Diferenças de consolidação","Consolidation differences")</f>
        <v>Consolidation differences</v>
      </c>
      <c r="D56" s="1155">
        <v>0</v>
      </c>
      <c r="E56" s="1155">
        <v>0</v>
      </c>
      <c r="F56" s="1156"/>
      <c r="G56" s="1155">
        <v>0</v>
      </c>
      <c r="H56" s="1155">
        <v>0</v>
      </c>
      <c r="I56" s="1156"/>
      <c r="J56" s="1155">
        <v>0</v>
      </c>
      <c r="K56" s="1155">
        <v>0</v>
      </c>
      <c r="L56" s="1156"/>
      <c r="M56" s="883"/>
      <c r="N56" s="393"/>
      <c r="O56" s="247"/>
      <c r="P56" s="246"/>
      <c r="Q56" s="145"/>
      <c r="R56" s="146"/>
      <c r="S56" s="147"/>
      <c r="T56" s="147"/>
      <c r="U56" s="147"/>
      <c r="V56" s="150"/>
      <c r="W56" s="151"/>
      <c r="X56" s="148"/>
      <c r="Y56" s="148"/>
      <c r="Z56" s="148"/>
      <c r="AA56" s="148"/>
      <c r="AB56" s="148"/>
      <c r="AC56" s="148"/>
      <c r="AD56" s="148"/>
      <c r="AE56" s="148"/>
      <c r="AF56" s="148"/>
      <c r="AG56" s="148"/>
    </row>
    <row r="57" spans="3:33" ht="4.5" customHeight="1">
      <c r="C57" s="1164"/>
      <c r="D57" s="1165"/>
      <c r="E57" s="1165"/>
      <c r="F57" s="157"/>
      <c r="G57" s="1165"/>
      <c r="H57" s="1165"/>
      <c r="I57" s="157"/>
      <c r="J57" s="1165"/>
      <c r="K57" s="1165"/>
      <c r="L57" s="157"/>
      <c r="M57" s="157"/>
      <c r="N57" s="393"/>
      <c r="P57" s="246"/>
      <c r="Q57" s="145"/>
      <c r="R57" s="146"/>
      <c r="S57" s="147"/>
      <c r="T57" s="147"/>
      <c r="U57" s="147"/>
      <c r="V57" s="139"/>
      <c r="W57" s="149"/>
      <c r="X57" s="148"/>
      <c r="Y57" s="148"/>
      <c r="Z57" s="148"/>
      <c r="AA57" s="148"/>
      <c r="AB57" s="148"/>
      <c r="AC57" s="148"/>
      <c r="AD57" s="148"/>
      <c r="AE57" s="148"/>
      <c r="AF57" s="148"/>
      <c r="AG57" s="148"/>
    </row>
    <row r="58" spans="3:33" s="300" customFormat="1" ht="15" customHeight="1">
      <c r="C58" s="1162" t="str">
        <f>IF(Indice_index!$Z$1=1,"Despesa efetiva","Effective expenditure")</f>
        <v>Effective expenditure</v>
      </c>
      <c r="D58" s="1166">
        <v>544.28226905399924</v>
      </c>
      <c r="E58" s="1166">
        <v>556.97757148000142</v>
      </c>
      <c r="F58" s="303">
        <f t="shared" si="1"/>
        <v>2.3324850262102967</v>
      </c>
      <c r="G58" s="1166">
        <v>508.82224048</v>
      </c>
      <c r="H58" s="1166">
        <v>557.55570254999998</v>
      </c>
      <c r="I58" s="303">
        <f t="shared" si="2"/>
        <v>9.5776988883243437</v>
      </c>
      <c r="J58" s="1166">
        <v>1053.1045095339991</v>
      </c>
      <c r="K58" s="1166">
        <v>1114.3382740300015</v>
      </c>
      <c r="L58" s="303">
        <f t="shared" si="3"/>
        <v>5.8145952221872435</v>
      </c>
      <c r="M58" s="303"/>
      <c r="N58" s="392"/>
      <c r="O58" s="301"/>
      <c r="P58" s="304"/>
      <c r="Q58" s="310"/>
      <c r="R58" s="306"/>
      <c r="S58" s="307"/>
      <c r="T58" s="307"/>
      <c r="U58" s="307"/>
      <c r="V58" s="302"/>
      <c r="W58" s="308"/>
      <c r="X58" s="148"/>
      <c r="Y58" s="148"/>
      <c r="Z58" s="148"/>
      <c r="AA58" s="148"/>
      <c r="AB58" s="148"/>
      <c r="AC58" s="148"/>
      <c r="AD58" s="148"/>
      <c r="AE58" s="148"/>
      <c r="AF58" s="148"/>
      <c r="AG58" s="148"/>
    </row>
    <row r="59" spans="3:33" ht="4.5" customHeight="1">
      <c r="C59" s="1167"/>
      <c r="D59" s="1155"/>
      <c r="E59" s="1155"/>
      <c r="F59" s="1168"/>
      <c r="G59" s="1155"/>
      <c r="H59" s="1155"/>
      <c r="I59" s="1168"/>
      <c r="J59" s="1155"/>
      <c r="K59" s="1155"/>
      <c r="L59" s="1168"/>
      <c r="M59" s="1169"/>
      <c r="N59" s="393"/>
      <c r="P59" s="246"/>
      <c r="Q59" s="145"/>
      <c r="R59" s="146"/>
      <c r="S59" s="147"/>
      <c r="T59" s="147"/>
      <c r="U59" s="147"/>
      <c r="V59" s="139"/>
      <c r="W59" s="139"/>
      <c r="X59" s="148"/>
      <c r="Y59" s="148"/>
      <c r="Z59" s="148"/>
      <c r="AA59" s="148"/>
      <c r="AB59" s="148"/>
      <c r="AC59" s="148"/>
      <c r="AD59" s="148"/>
      <c r="AE59" s="148"/>
      <c r="AF59" s="148"/>
      <c r="AG59" s="148"/>
    </row>
    <row r="60" spans="3:33" s="300" customFormat="1" ht="15" customHeight="1">
      <c r="C60" s="1170" t="str">
        <f>IF(Indice_index!$Z$1=1,"Saldo global","Overall balance")</f>
        <v>Overall balance</v>
      </c>
      <c r="D60" s="1171">
        <v>-0.67387420399916209</v>
      </c>
      <c r="E60" s="1171">
        <v>-93.103800420001278</v>
      </c>
      <c r="F60" s="1172"/>
      <c r="G60" s="1171">
        <v>-48.848313360000191</v>
      </c>
      <c r="H60" s="1171">
        <v>-61.612098000000003</v>
      </c>
      <c r="I60" s="1172"/>
      <c r="J60" s="1171">
        <v>-49.52218756399941</v>
      </c>
      <c r="K60" s="1171">
        <v>-154.71589842000117</v>
      </c>
      <c r="L60" s="1172"/>
      <c r="M60" s="1172"/>
      <c r="N60" s="394"/>
      <c r="O60" s="301"/>
      <c r="P60" s="304"/>
      <c r="Q60" s="305"/>
      <c r="R60" s="306"/>
      <c r="S60" s="307"/>
      <c r="T60" s="307"/>
      <c r="U60" s="307"/>
      <c r="V60" s="302"/>
      <c r="W60" s="302"/>
      <c r="X60" s="148"/>
      <c r="Y60" s="148"/>
      <c r="Z60" s="148"/>
      <c r="AA60" s="148"/>
      <c r="AB60" s="148"/>
      <c r="AC60" s="148"/>
      <c r="AD60" s="148"/>
      <c r="AE60" s="148"/>
      <c r="AF60" s="148"/>
      <c r="AG60" s="148"/>
    </row>
    <row r="61" spans="3:33" ht="4.5" customHeight="1">
      <c r="C61" s="1173"/>
      <c r="D61" s="1165"/>
      <c r="E61" s="1165"/>
      <c r="F61" s="1174"/>
      <c r="G61" s="1165"/>
      <c r="H61" s="1165"/>
      <c r="I61" s="1174"/>
      <c r="J61" s="1165"/>
      <c r="K61" s="1165"/>
      <c r="L61" s="1174"/>
      <c r="M61" s="1175"/>
      <c r="N61" s="393"/>
      <c r="P61" s="246"/>
      <c r="Q61" s="145"/>
      <c r="R61" s="146"/>
      <c r="S61" s="147"/>
      <c r="T61" s="147"/>
      <c r="U61" s="147"/>
      <c r="V61" s="139"/>
      <c r="W61" s="139"/>
      <c r="X61" s="148"/>
      <c r="Y61" s="148"/>
      <c r="Z61" s="148"/>
      <c r="AA61" s="148"/>
      <c r="AB61" s="148"/>
      <c r="AC61" s="148"/>
      <c r="AD61" s="148"/>
      <c r="AE61" s="148"/>
      <c r="AF61" s="148"/>
      <c r="AG61" s="148"/>
    </row>
    <row r="62" spans="3:33" ht="15" customHeight="1">
      <c r="C62" s="1154" t="str">
        <f>IF(Indice_index!$Z$1=1,"Despesa  primária","Primary Expenditure")</f>
        <v>Primary Expenditure</v>
      </c>
      <c r="D62" s="1165">
        <v>530.31377330399926</v>
      </c>
      <c r="E62" s="1165">
        <v>542.64021043000139</v>
      </c>
      <c r="F62" s="1156">
        <f t="shared" ref="F62" si="7">IFERROR(IF(ABS((E62-D62)/D62)*100&gt;500,"n.r",((E62-D62)/D62)*100),0)</f>
        <v>2.3243667704885493</v>
      </c>
      <c r="G62" s="1165">
        <v>486.19393673000002</v>
      </c>
      <c r="H62" s="1165">
        <v>522.32373207000001</v>
      </c>
      <c r="I62" s="1156">
        <f t="shared" ref="I62" si="8">IFERROR(IF(ABS((H62-G62)/G62)*100&gt;500,"n.r",((H62-G62)/G62)*100),0)</f>
        <v>7.4311488915305191</v>
      </c>
      <c r="J62" s="1155">
        <v>1016.5077100339993</v>
      </c>
      <c r="K62" s="1155">
        <v>1064.9639425000014</v>
      </c>
      <c r="L62" s="1156">
        <f t="shared" ref="L62" si="9">IFERROR(IF(ABS((K62-J62)/J62)*100&gt;500,"n.r",((K62-J62)/J62)*100),0)</f>
        <v>4.7669321135184894</v>
      </c>
      <c r="M62" s="1156"/>
      <c r="N62" s="393"/>
      <c r="P62" s="246"/>
      <c r="Q62" s="145"/>
      <c r="R62" s="146"/>
      <c r="S62" s="147"/>
      <c r="T62" s="147"/>
      <c r="U62" s="147"/>
      <c r="V62" s="139"/>
      <c r="W62" s="139"/>
      <c r="X62" s="148"/>
      <c r="Y62" s="148"/>
      <c r="Z62" s="148"/>
      <c r="AA62" s="148"/>
      <c r="AB62" s="148"/>
      <c r="AC62" s="148"/>
      <c r="AD62" s="148"/>
      <c r="AE62" s="148"/>
      <c r="AF62" s="148"/>
      <c r="AG62" s="148"/>
    </row>
    <row r="63" spans="3:33" ht="15" customHeight="1">
      <c r="C63" s="1176" t="str">
        <f>IF(Indice_index!$Z$1=1,"Saldo primário","Primary balance")</f>
        <v>Primary balance</v>
      </c>
      <c r="D63" s="1165">
        <v>13.294621546000839</v>
      </c>
      <c r="E63" s="1165">
        <v>-78.766439370001279</v>
      </c>
      <c r="F63" s="1156"/>
      <c r="G63" s="1165">
        <v>-26.220009610000186</v>
      </c>
      <c r="H63" s="1165">
        <v>-26.380127520000002</v>
      </c>
      <c r="I63" s="1156"/>
      <c r="J63" s="1155">
        <v>-12.925388063999348</v>
      </c>
      <c r="K63" s="1155">
        <v>-105.14656689000128</v>
      </c>
      <c r="L63" s="1156"/>
      <c r="M63" s="1177"/>
      <c r="N63" s="393"/>
      <c r="P63" s="246"/>
      <c r="Q63" s="145"/>
      <c r="R63" s="146"/>
      <c r="S63" s="147"/>
      <c r="T63" s="147"/>
      <c r="U63" s="147"/>
      <c r="V63" s="139"/>
      <c r="W63" s="139"/>
      <c r="X63" s="148"/>
      <c r="Y63" s="148"/>
      <c r="Z63" s="148"/>
      <c r="AA63" s="148"/>
      <c r="AB63" s="148"/>
      <c r="AC63" s="148"/>
      <c r="AD63" s="148"/>
      <c r="AE63" s="148"/>
      <c r="AF63" s="148"/>
      <c r="AG63" s="148"/>
    </row>
    <row r="64" spans="3:33" ht="15" customHeight="1">
      <c r="C64" s="1176" t="str">
        <f>IF(Indice_index!$Z$1=1,"Saldo corrente","Current balance")</f>
        <v>Current balance</v>
      </c>
      <c r="D64" s="1165">
        <v>29.688802636000787</v>
      </c>
      <c r="E64" s="1165">
        <v>-57.880842040001312</v>
      </c>
      <c r="F64" s="1156"/>
      <c r="G64" s="1165">
        <v>-47.790501950000134</v>
      </c>
      <c r="H64" s="1165">
        <v>-23.523923090000039</v>
      </c>
      <c r="I64" s="1156"/>
      <c r="J64" s="1155">
        <v>-18.101699313999347</v>
      </c>
      <c r="K64" s="1155">
        <v>-81.404765130001351</v>
      </c>
      <c r="L64" s="1156"/>
      <c r="M64" s="1177"/>
      <c r="N64" s="393"/>
      <c r="P64" s="246"/>
      <c r="Q64" s="145"/>
      <c r="R64" s="146"/>
      <c r="S64" s="147"/>
      <c r="T64" s="147"/>
      <c r="U64" s="147"/>
      <c r="V64" s="139"/>
      <c r="W64" s="139"/>
      <c r="X64" s="148"/>
      <c r="Y64" s="148"/>
      <c r="Z64" s="148"/>
      <c r="AA64" s="148"/>
      <c r="AB64" s="148"/>
      <c r="AC64" s="148"/>
      <c r="AD64" s="148"/>
      <c r="AE64" s="148"/>
      <c r="AF64" s="148"/>
      <c r="AG64" s="148"/>
    </row>
    <row r="65" spans="2:33" ht="15" customHeight="1">
      <c r="C65" s="1176" t="str">
        <f>IF(Indice_index!$Z$1=1,"Saldo de capital","Capital balance")</f>
        <v>Capital balance</v>
      </c>
      <c r="D65" s="1165">
        <v>-30.362676840000006</v>
      </c>
      <c r="E65" s="1165">
        <v>-35.222958379999966</v>
      </c>
      <c r="F65" s="1156"/>
      <c r="G65" s="1165">
        <v>-1.0578114100000064</v>
      </c>
      <c r="H65" s="1165">
        <v>-38.088174910000006</v>
      </c>
      <c r="I65" s="1156"/>
      <c r="J65" s="1155">
        <v>-31.420488250000012</v>
      </c>
      <c r="K65" s="1155">
        <v>-73.311133289999972</v>
      </c>
      <c r="L65" s="1156"/>
      <c r="M65" s="1177"/>
      <c r="N65" s="393"/>
      <c r="P65" s="246"/>
      <c r="Q65" s="145"/>
      <c r="R65" s="146"/>
      <c r="S65" s="147"/>
      <c r="T65" s="147"/>
      <c r="U65" s="147"/>
      <c r="V65" s="139"/>
      <c r="W65" s="139"/>
      <c r="X65" s="148"/>
      <c r="Y65" s="148"/>
      <c r="Z65" s="148"/>
      <c r="AA65" s="148"/>
      <c r="AB65" s="148"/>
      <c r="AC65" s="148"/>
      <c r="AD65" s="148"/>
      <c r="AE65" s="148"/>
      <c r="AF65" s="148"/>
      <c r="AG65" s="148"/>
    </row>
    <row r="66" spans="2:33" ht="15" customHeight="1">
      <c r="C66" s="1167" t="str">
        <f>IF(Indice_index!$Z$1=1,"Activos financeiros líquidos de reembolsos","Financial assets net of reimbursements")</f>
        <v>Financial assets net of reimbursements</v>
      </c>
      <c r="D66" s="1165">
        <v>1.4972537900000003</v>
      </c>
      <c r="E66" s="1165">
        <v>-0.18273938999999997</v>
      </c>
      <c r="F66" s="1156"/>
      <c r="G66" s="1165">
        <v>15.904878810000001</v>
      </c>
      <c r="H66" s="1165">
        <v>14.50974926</v>
      </c>
      <c r="I66" s="1156"/>
      <c r="J66" s="1165">
        <v>17.402132600000002</v>
      </c>
      <c r="K66" s="1165">
        <v>14.327009869999999</v>
      </c>
      <c r="L66" s="1156"/>
      <c r="M66" s="1177"/>
      <c r="N66" s="393"/>
      <c r="P66" s="246"/>
      <c r="Q66" s="145"/>
      <c r="R66" s="146"/>
      <c r="S66" s="147"/>
      <c r="T66" s="147"/>
      <c r="U66" s="147"/>
      <c r="V66" s="139"/>
      <c r="W66" s="139"/>
      <c r="X66" s="148"/>
      <c r="Y66" s="148"/>
      <c r="Z66" s="148"/>
      <c r="AA66" s="148"/>
      <c r="AB66" s="148"/>
      <c r="AC66" s="148"/>
      <c r="AD66" s="148"/>
      <c r="AE66" s="148"/>
      <c r="AF66" s="148"/>
      <c r="AG66" s="148"/>
    </row>
    <row r="67" spans="2:33" ht="15" customHeight="1">
      <c r="C67" s="1178" t="str">
        <f>IF(Indice_index!$Z$1=1,"dos quais Receitas de:","of which Revenues of")</f>
        <v>of which Revenues of</v>
      </c>
      <c r="D67" s="1179"/>
      <c r="E67" s="1179"/>
      <c r="F67" s="1156"/>
      <c r="G67" s="1179"/>
      <c r="H67" s="1179"/>
      <c r="I67" s="1156"/>
      <c r="J67" s="1179"/>
      <c r="K67" s="1179"/>
      <c r="L67" s="1156"/>
      <c r="M67" s="1177"/>
      <c r="N67" s="393"/>
      <c r="P67" s="246"/>
      <c r="Q67" s="145"/>
      <c r="R67" s="146"/>
      <c r="S67" s="147"/>
      <c r="T67" s="147"/>
      <c r="U67" s="147"/>
      <c r="V67" s="139"/>
      <c r="W67" s="139"/>
      <c r="X67" s="148"/>
      <c r="Y67" s="148"/>
      <c r="Z67" s="148"/>
      <c r="AA67" s="148"/>
      <c r="AB67" s="148"/>
      <c r="AC67" s="148"/>
      <c r="AD67" s="148"/>
      <c r="AE67" s="148"/>
      <c r="AF67" s="148"/>
      <c r="AG67" s="148"/>
    </row>
    <row r="68" spans="2:33" ht="15" customHeight="1">
      <c r="C68" s="1180" t="str">
        <f>IF(Indice_index!$Z$1=1,"Alienação de partes de Capital","Divestment of company shares")</f>
        <v>Divestment of company shares</v>
      </c>
      <c r="D68" s="1165">
        <v>0</v>
      </c>
      <c r="E68" s="1165">
        <v>0</v>
      </c>
      <c r="F68" s="1156"/>
      <c r="G68" s="1165">
        <v>0</v>
      </c>
      <c r="H68" s="1165">
        <v>0</v>
      </c>
      <c r="I68" s="1156"/>
      <c r="J68" s="1165">
        <v>0</v>
      </c>
      <c r="K68" s="1165">
        <v>0</v>
      </c>
      <c r="L68" s="1156"/>
      <c r="M68" s="1177"/>
      <c r="N68" s="393"/>
      <c r="Q68" s="145"/>
      <c r="R68" s="146"/>
      <c r="S68" s="147"/>
      <c r="T68" s="147"/>
      <c r="U68" s="147"/>
      <c r="V68" s="139"/>
      <c r="W68" s="139"/>
      <c r="X68" s="148"/>
      <c r="Y68" s="148"/>
      <c r="Z68" s="148"/>
      <c r="AA68" s="148"/>
      <c r="AB68" s="148"/>
      <c r="AC68" s="148"/>
      <c r="AD68" s="148"/>
      <c r="AE68" s="148"/>
      <c r="AF68" s="148"/>
      <c r="AG68" s="148"/>
    </row>
    <row r="69" spans="2:33" ht="15" customHeight="1">
      <c r="C69" s="1181" t="str">
        <f>IF(Indice_index!$Z$1=1,"Outros Ativos","Other Financial assets")</f>
        <v>Other Financial assets</v>
      </c>
      <c r="D69" s="1165">
        <v>0.32487403000000004</v>
      </c>
      <c r="E69" s="1165">
        <v>0.22354097999999997</v>
      </c>
      <c r="F69" s="1156"/>
      <c r="G69" s="1165">
        <v>4.0829966899999999</v>
      </c>
      <c r="H69" s="1165">
        <v>3.36725195</v>
      </c>
      <c r="I69" s="1156"/>
      <c r="J69" s="1165">
        <v>4.40787072</v>
      </c>
      <c r="K69" s="1165">
        <v>3.5907929300000001</v>
      </c>
      <c r="L69" s="1156"/>
      <c r="M69" s="1177"/>
      <c r="N69" s="393"/>
      <c r="Q69" s="145"/>
      <c r="R69" s="146"/>
      <c r="S69" s="147"/>
      <c r="T69" s="147"/>
      <c r="U69" s="147"/>
      <c r="V69" s="139"/>
      <c r="W69" s="139"/>
      <c r="X69" s="148"/>
      <c r="Y69" s="148"/>
      <c r="Z69" s="148"/>
      <c r="AA69" s="148"/>
      <c r="AB69" s="148"/>
      <c r="AC69" s="148"/>
      <c r="AD69" s="148"/>
      <c r="AE69" s="148"/>
      <c r="AF69" s="148"/>
      <c r="AG69" s="148"/>
    </row>
    <row r="70" spans="2:33" ht="15" customHeight="1">
      <c r="C70" s="1164" t="str">
        <f>IF(Indice_index!$Z$1=1,"Passivos financeiros líquidos de amortizações","Financial liabilities net of amortizations")</f>
        <v>Financial liabilities net of amortizations</v>
      </c>
      <c r="D70" s="1155">
        <v>-54.438853020000003</v>
      </c>
      <c r="E70" s="1155">
        <v>393.00588482999996</v>
      </c>
      <c r="F70" s="1156"/>
      <c r="G70" s="1155">
        <v>-91.994898719999981</v>
      </c>
      <c r="H70" s="1155">
        <v>140.80047347999999</v>
      </c>
      <c r="I70" s="1156"/>
      <c r="J70" s="1155">
        <v>-146.43375173999999</v>
      </c>
      <c r="K70" s="1155">
        <v>533.80635830999995</v>
      </c>
      <c r="L70" s="1156"/>
      <c r="M70" s="1177"/>
      <c r="N70" s="393"/>
      <c r="Q70" s="145"/>
      <c r="R70" s="146"/>
      <c r="S70" s="147"/>
      <c r="T70" s="147"/>
      <c r="U70" s="147"/>
      <c r="V70" s="139"/>
      <c r="W70" s="139"/>
      <c r="X70" s="148"/>
      <c r="Y70" s="148"/>
      <c r="Z70" s="148"/>
      <c r="AA70" s="148"/>
      <c r="AB70" s="148"/>
      <c r="AC70" s="148"/>
      <c r="AD70" s="148"/>
      <c r="AE70" s="148"/>
      <c r="AF70" s="148"/>
      <c r="AG70" s="148"/>
    </row>
    <row r="71" spans="2:33" ht="15" customHeight="1">
      <c r="C71" s="1182" t="str">
        <f>IF(Indice_index!$Z$1=1,"Poupança (+) / Utilização (-) de saldo da gerência anterior","Saving (+) / Usage (-) of balance from previous management")</f>
        <v>Saving (+) / Usage (-) of balance from previous management</v>
      </c>
      <c r="D71" s="1183">
        <v>-56.609981013999167</v>
      </c>
      <c r="E71" s="1183">
        <v>300.08482379999867</v>
      </c>
      <c r="F71" s="1183"/>
      <c r="G71" s="1183">
        <v>-156.74809089000019</v>
      </c>
      <c r="H71" s="1183">
        <v>64.678626219999984</v>
      </c>
      <c r="I71" s="1183"/>
      <c r="J71" s="1183">
        <v>-213.35807190399936</v>
      </c>
      <c r="K71" s="1183">
        <v>364.76345001999869</v>
      </c>
      <c r="L71" s="1183"/>
      <c r="M71" s="1184"/>
      <c r="N71" s="393"/>
      <c r="Q71" s="145"/>
      <c r="R71" s="146"/>
      <c r="S71" s="147"/>
      <c r="T71" s="147"/>
      <c r="U71" s="147"/>
      <c r="V71" s="139"/>
      <c r="W71" s="139"/>
      <c r="X71" s="148"/>
      <c r="Y71" s="148"/>
      <c r="Z71" s="148"/>
      <c r="AA71" s="148"/>
      <c r="AB71" s="148"/>
      <c r="AC71" s="148"/>
      <c r="AD71" s="148"/>
      <c r="AE71" s="148"/>
      <c r="AF71" s="148"/>
      <c r="AG71" s="148"/>
    </row>
    <row r="72" spans="2:33" ht="4.5" customHeight="1">
      <c r="C72" s="1185"/>
      <c r="E72" s="167"/>
      <c r="F72" s="167"/>
      <c r="G72" s="167"/>
      <c r="H72" s="167"/>
      <c r="I72" s="167"/>
      <c r="J72" s="167"/>
      <c r="K72" s="425"/>
      <c r="L72" s="425"/>
      <c r="M72" s="97"/>
      <c r="N72" s="391"/>
      <c r="Q72" s="145"/>
      <c r="R72" s="146"/>
      <c r="S72" s="147"/>
      <c r="T72" s="147"/>
      <c r="U72" s="147"/>
      <c r="V72" s="139"/>
      <c r="W72" s="139"/>
      <c r="X72" s="148"/>
      <c r="Y72" s="148"/>
      <c r="Z72" s="148"/>
      <c r="AA72" s="148"/>
      <c r="AB72" s="148"/>
      <c r="AC72" s="148"/>
      <c r="AD72" s="148"/>
      <c r="AE72" s="148"/>
      <c r="AF72" s="148"/>
      <c r="AG72" s="148"/>
    </row>
    <row r="73" spans="2:33">
      <c r="C73" s="1186" t="s">
        <v>63</v>
      </c>
      <c r="D73" s="167"/>
      <c r="E73" s="167"/>
      <c r="F73" s="167"/>
      <c r="G73" s="167"/>
      <c r="I73" s="167"/>
      <c r="J73" s="167"/>
      <c r="K73" s="425"/>
      <c r="L73" s="425"/>
      <c r="M73" s="97"/>
      <c r="N73" s="391"/>
      <c r="Q73" s="145"/>
      <c r="R73" s="146"/>
      <c r="S73" s="147"/>
      <c r="T73" s="147"/>
      <c r="U73" s="147"/>
      <c r="V73" s="139"/>
      <c r="W73" s="139"/>
      <c r="X73" s="148"/>
      <c r="Y73" s="148"/>
      <c r="Z73" s="148"/>
      <c r="AA73" s="148"/>
      <c r="AB73" s="148"/>
      <c r="AC73" s="148"/>
      <c r="AD73" s="148"/>
      <c r="AE73" s="148"/>
      <c r="AF73" s="148"/>
      <c r="AG73" s="148"/>
    </row>
    <row r="74" spans="2:33" ht="20.25">
      <c r="B74" s="97"/>
      <c r="C74" s="1167" t="str">
        <f>IF(Indice_index!$Z$1=1,"Fonte: DROT/RAM; DROT/RAA.","Source: DROT/RAM; DROT/RAA.")</f>
        <v>Source: DROT/RAM; DROT/RAA.</v>
      </c>
      <c r="D74" s="97"/>
      <c r="E74" s="1187"/>
      <c r="F74" s="97"/>
      <c r="G74" s="97"/>
      <c r="H74" s="97"/>
      <c r="I74" s="97"/>
      <c r="J74" s="97"/>
      <c r="K74" s="97"/>
      <c r="L74" s="97"/>
      <c r="M74" s="97"/>
      <c r="N74" s="391"/>
      <c r="Q74" s="145"/>
      <c r="R74" s="146"/>
      <c r="S74" s="147"/>
      <c r="T74" s="147"/>
      <c r="U74" s="147"/>
      <c r="X74" s="148"/>
      <c r="Y74" s="148"/>
      <c r="Z74" s="148"/>
      <c r="AA74" s="148"/>
      <c r="AB74" s="148"/>
      <c r="AC74" s="148"/>
      <c r="AD74" s="148"/>
      <c r="AE74" s="148"/>
      <c r="AF74" s="148"/>
      <c r="AG74" s="148"/>
    </row>
    <row r="75" spans="2:33">
      <c r="B75" s="97"/>
      <c r="D75" s="97"/>
      <c r="E75" s="97"/>
      <c r="F75" s="97"/>
      <c r="G75" s="97"/>
      <c r="H75" s="97"/>
      <c r="I75" s="97"/>
      <c r="J75" s="97"/>
      <c r="K75" s="97"/>
      <c r="L75" s="97"/>
      <c r="M75" s="97"/>
      <c r="N75" s="391"/>
      <c r="Q75" s="145"/>
      <c r="R75" s="146"/>
      <c r="S75" s="147"/>
      <c r="T75" s="147"/>
      <c r="U75" s="147"/>
      <c r="X75" s="148"/>
      <c r="Y75" s="148"/>
      <c r="Z75" s="148"/>
      <c r="AA75" s="148"/>
      <c r="AB75" s="148"/>
      <c r="AC75" s="148"/>
      <c r="AD75" s="148"/>
      <c r="AE75" s="148"/>
      <c r="AF75" s="148"/>
      <c r="AG75" s="148"/>
    </row>
    <row r="76" spans="2:33">
      <c r="B76" s="97"/>
      <c r="C76" s="97"/>
      <c r="D76" s="97"/>
      <c r="E76" s="97"/>
      <c r="F76" s="97"/>
      <c r="G76" s="97"/>
      <c r="H76" s="97"/>
      <c r="I76" s="97"/>
      <c r="J76" s="97"/>
      <c r="K76" s="97"/>
      <c r="L76" s="97"/>
      <c r="M76" s="97"/>
      <c r="X76" s="148"/>
      <c r="Y76" s="148"/>
      <c r="Z76" s="148"/>
      <c r="AA76" s="148"/>
      <c r="AB76" s="148"/>
      <c r="AC76" s="148"/>
      <c r="AD76" s="148"/>
      <c r="AE76" s="148"/>
      <c r="AF76" s="148"/>
      <c r="AG76" s="148"/>
    </row>
    <row r="77" spans="2:33">
      <c r="B77" s="97"/>
      <c r="C77" s="97"/>
      <c r="D77" s="97"/>
      <c r="E77" s="97"/>
      <c r="F77" s="97"/>
      <c r="G77" s="97"/>
      <c r="H77" s="97"/>
      <c r="I77" s="97"/>
      <c r="J77" s="97"/>
      <c r="K77" s="97"/>
      <c r="L77" s="97"/>
      <c r="M77" s="97"/>
      <c r="X77" s="148"/>
      <c r="Y77" s="148"/>
      <c r="Z77" s="148"/>
      <c r="AA77" s="148"/>
      <c r="AB77" s="148"/>
      <c r="AC77" s="148"/>
      <c r="AD77" s="148"/>
      <c r="AE77" s="148"/>
      <c r="AF77" s="148"/>
      <c r="AG77" s="148"/>
    </row>
    <row r="78" spans="2:33">
      <c r="B78" s="97"/>
      <c r="C78" s="97"/>
      <c r="D78" s="97"/>
      <c r="E78" s="97"/>
      <c r="F78" s="97"/>
      <c r="G78" s="97"/>
      <c r="H78" s="97"/>
      <c r="I78" s="97"/>
      <c r="J78" s="97"/>
      <c r="K78" s="97"/>
      <c r="L78" s="97"/>
      <c r="M78" s="97"/>
      <c r="X78" s="148"/>
      <c r="Y78" s="148"/>
      <c r="Z78" s="148"/>
      <c r="AA78" s="148"/>
      <c r="AB78" s="148"/>
      <c r="AC78" s="148"/>
      <c r="AD78" s="148"/>
      <c r="AE78" s="148"/>
      <c r="AF78" s="148"/>
      <c r="AG78" s="148"/>
    </row>
    <row r="79" spans="2:33">
      <c r="C79" s="97"/>
      <c r="D79" s="167"/>
      <c r="E79" s="167"/>
      <c r="F79" s="167"/>
      <c r="G79" s="167"/>
      <c r="H79" s="167"/>
      <c r="I79" s="167"/>
      <c r="J79" s="167"/>
      <c r="K79" s="167"/>
      <c r="L79" s="167"/>
      <c r="M79" s="425"/>
      <c r="X79" s="148"/>
      <c r="Y79" s="148"/>
      <c r="Z79" s="148"/>
      <c r="AA79" s="148"/>
      <c r="AB79" s="148"/>
      <c r="AC79" s="148"/>
      <c r="AD79" s="148"/>
      <c r="AE79" s="148"/>
      <c r="AF79" s="148"/>
      <c r="AG79" s="148"/>
    </row>
    <row r="80" spans="2:33">
      <c r="C80" s="167"/>
      <c r="D80" s="167"/>
      <c r="E80" s="167"/>
      <c r="F80" s="167"/>
      <c r="G80" s="167"/>
      <c r="H80" s="167"/>
      <c r="I80" s="167"/>
      <c r="J80" s="167"/>
      <c r="K80" s="167"/>
      <c r="L80" s="167"/>
      <c r="M80" s="425"/>
      <c r="X80" s="148"/>
      <c r="Y80" s="148"/>
      <c r="Z80" s="148"/>
      <c r="AA80" s="148"/>
      <c r="AB80" s="148"/>
      <c r="AC80" s="148"/>
      <c r="AD80" s="148"/>
      <c r="AE80" s="148"/>
      <c r="AF80" s="148"/>
      <c r="AG80" s="148"/>
    </row>
    <row r="81" spans="3:33">
      <c r="C81" s="167"/>
      <c r="D81" s="167"/>
      <c r="E81" s="167"/>
      <c r="F81" s="167"/>
      <c r="G81" s="167"/>
      <c r="H81" s="167"/>
      <c r="I81" s="167"/>
      <c r="J81" s="167"/>
      <c r="K81" s="167"/>
      <c r="L81" s="167"/>
      <c r="M81" s="425"/>
      <c r="X81" s="148"/>
      <c r="Y81" s="148"/>
      <c r="Z81" s="148"/>
      <c r="AA81" s="148"/>
      <c r="AB81" s="148"/>
      <c r="AC81" s="148"/>
      <c r="AD81" s="148"/>
      <c r="AE81" s="148"/>
      <c r="AF81" s="148"/>
      <c r="AG81" s="148"/>
    </row>
    <row r="82" spans="3:33">
      <c r="C82" s="167"/>
      <c r="D82" s="167"/>
      <c r="E82" s="167"/>
      <c r="F82" s="167"/>
      <c r="G82" s="167"/>
      <c r="H82" s="167"/>
      <c r="I82" s="167"/>
      <c r="J82" s="167"/>
      <c r="K82" s="167"/>
      <c r="L82" s="167"/>
      <c r="M82" s="425"/>
      <c r="X82" s="148"/>
      <c r="Y82" s="148"/>
      <c r="Z82" s="148"/>
      <c r="AA82" s="148"/>
      <c r="AB82" s="148"/>
      <c r="AC82" s="148"/>
      <c r="AD82" s="148"/>
      <c r="AE82" s="148"/>
      <c r="AF82" s="148"/>
      <c r="AG82" s="148"/>
    </row>
    <row r="83" spans="3:33">
      <c r="C83" s="167"/>
      <c r="D83" s="167"/>
      <c r="E83" s="167"/>
      <c r="F83" s="167"/>
      <c r="G83" s="167"/>
      <c r="H83" s="167"/>
      <c r="I83" s="167"/>
      <c r="J83" s="167"/>
      <c r="K83" s="167"/>
      <c r="L83" s="167"/>
      <c r="M83" s="425"/>
      <c r="X83" s="148"/>
      <c r="Y83" s="148"/>
      <c r="Z83" s="148"/>
      <c r="AA83" s="148"/>
      <c r="AB83" s="148"/>
      <c r="AC83" s="148"/>
      <c r="AD83" s="148"/>
      <c r="AE83" s="148"/>
      <c r="AF83" s="148"/>
      <c r="AG83" s="148"/>
    </row>
    <row r="84" spans="3:33">
      <c r="C84" s="167"/>
      <c r="D84" s="167"/>
      <c r="E84" s="167"/>
      <c r="F84" s="167"/>
      <c r="G84" s="167"/>
      <c r="H84" s="167"/>
      <c r="I84" s="167"/>
      <c r="J84" s="167"/>
      <c r="K84" s="167"/>
      <c r="L84" s="167"/>
      <c r="M84" s="425"/>
      <c r="X84" s="148"/>
      <c r="Y84" s="148"/>
      <c r="Z84" s="148"/>
      <c r="AA84" s="148"/>
      <c r="AB84" s="148"/>
      <c r="AC84" s="148"/>
      <c r="AD84" s="148"/>
      <c r="AE84" s="148"/>
      <c r="AF84" s="148"/>
      <c r="AG84" s="148"/>
    </row>
    <row r="85" spans="3:33">
      <c r="C85" s="167"/>
      <c r="D85" s="167"/>
      <c r="E85" s="167"/>
      <c r="F85" s="167"/>
      <c r="G85" s="167"/>
      <c r="H85" s="167"/>
      <c r="I85" s="167"/>
      <c r="J85" s="167"/>
      <c r="K85" s="167"/>
      <c r="L85" s="167"/>
      <c r="M85" s="425"/>
      <c r="X85" s="148"/>
      <c r="Y85" s="148"/>
      <c r="Z85" s="148"/>
      <c r="AA85" s="148"/>
      <c r="AB85" s="148"/>
      <c r="AC85" s="148"/>
      <c r="AD85" s="148"/>
      <c r="AE85" s="148"/>
      <c r="AF85" s="148"/>
      <c r="AG85" s="148"/>
    </row>
    <row r="86" spans="3:33">
      <c r="C86" s="167"/>
      <c r="D86" s="167"/>
      <c r="E86" s="167"/>
      <c r="F86" s="167"/>
      <c r="G86" s="167"/>
      <c r="H86" s="167"/>
      <c r="I86" s="167"/>
      <c r="J86" s="167"/>
      <c r="K86" s="167"/>
      <c r="L86" s="167"/>
      <c r="M86" s="425"/>
      <c r="X86" s="148"/>
      <c r="Y86" s="148"/>
      <c r="Z86" s="148"/>
      <c r="AA86" s="148"/>
      <c r="AB86" s="148"/>
      <c r="AC86" s="148"/>
      <c r="AD86" s="148"/>
      <c r="AE86" s="148"/>
      <c r="AF86" s="148"/>
      <c r="AG86" s="148"/>
    </row>
    <row r="87" spans="3:33">
      <c r="C87" s="167"/>
      <c r="D87" s="167"/>
      <c r="E87" s="167"/>
      <c r="F87" s="167"/>
      <c r="G87" s="167"/>
      <c r="H87" s="167"/>
      <c r="I87" s="167"/>
      <c r="J87" s="167"/>
      <c r="K87" s="167"/>
      <c r="L87" s="167"/>
      <c r="M87" s="425"/>
      <c r="X87" s="148"/>
      <c r="Y87" s="148"/>
      <c r="Z87" s="148"/>
      <c r="AA87" s="148"/>
      <c r="AB87" s="148"/>
      <c r="AC87" s="148"/>
      <c r="AD87" s="148"/>
      <c r="AE87" s="148"/>
      <c r="AF87" s="148"/>
      <c r="AG87" s="148"/>
    </row>
    <row r="88" spans="3:33">
      <c r="C88" s="167"/>
      <c r="D88" s="167"/>
      <c r="E88" s="167"/>
      <c r="F88" s="167"/>
      <c r="G88" s="167"/>
      <c r="H88" s="167"/>
      <c r="I88" s="167"/>
      <c r="J88" s="167"/>
      <c r="K88" s="167"/>
      <c r="L88" s="167"/>
      <c r="M88" s="425"/>
      <c r="X88" s="148"/>
      <c r="Y88" s="148"/>
      <c r="Z88" s="148"/>
      <c r="AA88" s="148"/>
      <c r="AB88" s="148"/>
      <c r="AC88" s="148"/>
      <c r="AD88" s="148"/>
      <c r="AE88" s="148"/>
      <c r="AF88" s="148"/>
      <c r="AG88" s="148"/>
    </row>
    <row r="89" spans="3:33">
      <c r="C89" s="167"/>
      <c r="D89" s="167"/>
      <c r="E89" s="167"/>
      <c r="F89" s="167"/>
      <c r="G89" s="167"/>
      <c r="H89" s="167"/>
      <c r="I89" s="167"/>
      <c r="J89" s="167"/>
      <c r="K89" s="167"/>
      <c r="L89" s="167"/>
      <c r="M89" s="425"/>
      <c r="X89" s="148"/>
      <c r="Y89" s="148"/>
      <c r="Z89" s="148"/>
      <c r="AA89" s="148"/>
      <c r="AB89" s="148"/>
      <c r="AC89" s="148"/>
      <c r="AD89" s="148"/>
      <c r="AE89" s="148"/>
      <c r="AF89" s="148"/>
      <c r="AG89" s="148"/>
    </row>
    <row r="90" spans="3:33">
      <c r="C90" s="167"/>
      <c r="D90" s="167"/>
      <c r="E90" s="167"/>
      <c r="F90" s="167"/>
      <c r="G90" s="167"/>
      <c r="H90" s="167"/>
      <c r="I90" s="167"/>
      <c r="J90" s="167"/>
      <c r="K90" s="167"/>
      <c r="L90" s="167"/>
      <c r="M90" s="425"/>
      <c r="X90" s="148"/>
      <c r="Y90" s="148"/>
      <c r="Z90" s="148"/>
      <c r="AA90" s="148"/>
      <c r="AB90" s="148"/>
      <c r="AC90" s="148"/>
      <c r="AD90" s="148"/>
      <c r="AE90" s="148"/>
      <c r="AF90" s="148"/>
      <c r="AG90" s="148"/>
    </row>
    <row r="91" spans="3:33">
      <c r="C91" s="167"/>
      <c r="D91" s="167"/>
      <c r="E91" s="167"/>
      <c r="F91" s="167"/>
      <c r="G91" s="167"/>
      <c r="H91" s="167"/>
      <c r="I91" s="167"/>
      <c r="J91" s="167"/>
      <c r="K91" s="167"/>
      <c r="L91" s="167"/>
      <c r="M91" s="425"/>
      <c r="X91" s="148"/>
      <c r="Y91" s="148"/>
      <c r="Z91" s="148"/>
      <c r="AA91" s="148"/>
      <c r="AB91" s="148"/>
      <c r="AC91" s="148"/>
      <c r="AD91" s="148"/>
      <c r="AE91" s="148"/>
      <c r="AF91" s="148"/>
      <c r="AG91" s="148"/>
    </row>
    <row r="92" spans="3:33">
      <c r="C92" s="167"/>
      <c r="D92" s="167"/>
      <c r="E92" s="167"/>
      <c r="F92" s="167"/>
      <c r="G92" s="167"/>
      <c r="H92" s="167"/>
      <c r="I92" s="167"/>
      <c r="J92" s="167"/>
      <c r="K92" s="167"/>
      <c r="L92" s="167"/>
      <c r="M92" s="425"/>
      <c r="X92" s="148"/>
      <c r="Y92" s="148"/>
      <c r="Z92" s="148"/>
      <c r="AA92" s="148"/>
      <c r="AB92" s="148"/>
      <c r="AC92" s="148"/>
      <c r="AD92" s="148"/>
      <c r="AE92" s="148"/>
      <c r="AF92" s="148"/>
      <c r="AG92" s="148"/>
    </row>
    <row r="93" spans="3:33">
      <c r="C93" s="167"/>
      <c r="D93" s="167"/>
      <c r="E93" s="167"/>
      <c r="F93" s="167"/>
      <c r="G93" s="167"/>
      <c r="H93" s="167"/>
      <c r="I93" s="167"/>
      <c r="J93" s="167"/>
      <c r="K93" s="167"/>
      <c r="L93" s="167"/>
      <c r="M93" s="425"/>
      <c r="X93" s="148"/>
      <c r="Y93" s="148"/>
      <c r="Z93" s="148"/>
      <c r="AA93" s="148"/>
      <c r="AB93" s="148"/>
      <c r="AC93" s="148"/>
      <c r="AD93" s="148"/>
      <c r="AE93" s="148"/>
      <c r="AF93" s="148"/>
      <c r="AG93" s="148"/>
    </row>
    <row r="94" spans="3:33">
      <c r="C94" s="167"/>
      <c r="D94" s="167"/>
      <c r="E94" s="167"/>
      <c r="F94" s="167"/>
      <c r="G94" s="167"/>
      <c r="H94" s="167"/>
      <c r="I94" s="167"/>
      <c r="J94" s="167"/>
      <c r="K94" s="167"/>
      <c r="L94" s="167"/>
      <c r="M94" s="425"/>
      <c r="X94" s="148"/>
      <c r="Y94" s="148"/>
      <c r="Z94" s="148"/>
      <c r="AA94" s="148"/>
      <c r="AB94" s="148"/>
      <c r="AC94" s="148"/>
      <c r="AD94" s="148"/>
      <c r="AE94" s="148"/>
      <c r="AF94" s="148"/>
      <c r="AG94" s="148"/>
    </row>
    <row r="95" spans="3:33">
      <c r="C95" s="167"/>
      <c r="D95" s="167"/>
      <c r="E95" s="167"/>
      <c r="F95" s="167"/>
      <c r="G95" s="167"/>
      <c r="H95" s="167"/>
      <c r="I95" s="167"/>
      <c r="J95" s="167"/>
      <c r="K95" s="167"/>
      <c r="L95" s="167"/>
      <c r="M95" s="425"/>
      <c r="X95" s="148"/>
      <c r="Y95" s="148"/>
      <c r="Z95" s="148"/>
      <c r="AA95" s="148"/>
      <c r="AB95" s="148"/>
      <c r="AC95" s="148"/>
      <c r="AD95" s="148"/>
      <c r="AE95" s="148"/>
      <c r="AF95" s="148"/>
      <c r="AG95" s="148"/>
    </row>
    <row r="96" spans="3:33">
      <c r="C96" s="167"/>
      <c r="D96" s="167"/>
      <c r="E96" s="167"/>
      <c r="F96" s="167"/>
      <c r="G96" s="167"/>
      <c r="H96" s="167"/>
      <c r="I96" s="167"/>
      <c r="J96" s="167"/>
      <c r="K96" s="167"/>
      <c r="L96" s="167"/>
      <c r="M96" s="425"/>
      <c r="X96" s="148"/>
      <c r="Y96" s="148"/>
      <c r="Z96" s="148"/>
      <c r="AA96" s="148"/>
      <c r="AB96" s="148"/>
      <c r="AC96" s="148"/>
      <c r="AD96" s="148"/>
      <c r="AE96" s="148"/>
      <c r="AF96" s="148"/>
      <c r="AG96" s="148"/>
    </row>
    <row r="97" spans="3:33">
      <c r="C97" s="167"/>
      <c r="D97" s="167"/>
      <c r="E97" s="167"/>
      <c r="F97" s="167"/>
      <c r="G97" s="167"/>
      <c r="H97" s="167"/>
      <c r="I97" s="167"/>
      <c r="J97" s="167"/>
      <c r="K97" s="167"/>
      <c r="L97" s="167"/>
      <c r="M97" s="425"/>
      <c r="X97" s="148"/>
      <c r="Y97" s="148"/>
      <c r="Z97" s="148"/>
      <c r="AA97" s="148"/>
      <c r="AB97" s="148"/>
      <c r="AC97" s="148"/>
      <c r="AD97" s="148"/>
      <c r="AE97" s="148"/>
      <c r="AF97" s="148"/>
      <c r="AG97" s="148"/>
    </row>
    <row r="98" spans="3:33">
      <c r="C98" s="167"/>
      <c r="D98" s="167"/>
      <c r="E98" s="167"/>
      <c r="F98" s="167"/>
      <c r="G98" s="167"/>
      <c r="H98" s="167"/>
      <c r="I98" s="167"/>
      <c r="J98" s="167"/>
      <c r="K98" s="167"/>
      <c r="L98" s="167"/>
      <c r="M98" s="425"/>
    </row>
    <row r="99" spans="3:33">
      <c r="C99" s="167"/>
      <c r="D99" s="167"/>
      <c r="E99" s="167"/>
      <c r="F99" s="167"/>
      <c r="G99" s="167"/>
      <c r="H99" s="167"/>
      <c r="I99" s="167"/>
      <c r="J99" s="167"/>
      <c r="K99" s="167"/>
      <c r="L99" s="167"/>
      <c r="M99" s="425"/>
    </row>
    <row r="100" spans="3:33">
      <c r="C100" s="167"/>
      <c r="D100" s="167"/>
      <c r="E100" s="167"/>
      <c r="F100" s="167"/>
      <c r="G100" s="167"/>
      <c r="H100" s="167"/>
      <c r="I100" s="374"/>
      <c r="J100" s="374"/>
      <c r="K100" s="374"/>
      <c r="L100" s="374"/>
      <c r="M100" s="375"/>
    </row>
    <row r="101" spans="3:33">
      <c r="C101" s="167"/>
      <c r="D101" s="167"/>
      <c r="E101" s="167"/>
      <c r="F101" s="167"/>
      <c r="G101" s="167"/>
      <c r="H101" s="167"/>
      <c r="I101" s="374"/>
      <c r="J101" s="374"/>
      <c r="K101" s="374"/>
      <c r="L101" s="374"/>
      <c r="M101" s="375"/>
    </row>
    <row r="102" spans="3:33">
      <c r="C102" s="167"/>
      <c r="D102" s="167"/>
      <c r="E102" s="167"/>
      <c r="F102" s="167"/>
      <c r="G102" s="167"/>
      <c r="H102" s="167"/>
      <c r="I102" s="374"/>
      <c r="J102" s="374"/>
      <c r="K102" s="374"/>
      <c r="L102" s="374"/>
      <c r="M102" s="375"/>
    </row>
    <row r="103" spans="3:33">
      <c r="C103" s="167"/>
      <c r="D103" s="167"/>
      <c r="E103" s="167"/>
      <c r="F103" s="167"/>
      <c r="G103" s="167"/>
      <c r="H103" s="167"/>
      <c r="I103" s="374"/>
      <c r="J103" s="374"/>
      <c r="K103" s="374"/>
      <c r="L103" s="374"/>
      <c r="M103" s="375"/>
    </row>
    <row r="104" spans="3:33">
      <c r="C104" s="167"/>
      <c r="D104" s="167"/>
      <c r="E104" s="167"/>
      <c r="F104" s="167"/>
      <c r="G104" s="167"/>
      <c r="H104" s="167"/>
      <c r="I104" s="374"/>
      <c r="J104" s="374"/>
      <c r="K104" s="374"/>
      <c r="L104" s="374"/>
      <c r="M104" s="375"/>
    </row>
    <row r="105" spans="3:33">
      <c r="C105" s="167"/>
      <c r="D105" s="167"/>
      <c r="E105" s="167"/>
      <c r="F105" s="167"/>
      <c r="G105" s="167"/>
      <c r="H105" s="167"/>
      <c r="I105" s="374"/>
      <c r="J105" s="374"/>
      <c r="K105" s="374"/>
      <c r="L105" s="374"/>
      <c r="M105" s="375"/>
    </row>
    <row r="106" spans="3:33">
      <c r="C106" s="167"/>
      <c r="D106" s="167"/>
      <c r="E106" s="167"/>
      <c r="F106" s="167"/>
      <c r="G106" s="167"/>
      <c r="H106" s="167"/>
      <c r="I106" s="374"/>
      <c r="J106" s="374"/>
      <c r="K106" s="374"/>
      <c r="L106" s="374"/>
      <c r="M106" s="375"/>
    </row>
    <row r="107" spans="3:33">
      <c r="C107" s="167"/>
      <c r="D107" s="167"/>
      <c r="E107" s="167"/>
      <c r="F107" s="167"/>
      <c r="G107" s="167"/>
      <c r="H107" s="167"/>
      <c r="I107" s="374"/>
      <c r="J107" s="374"/>
      <c r="K107" s="374"/>
      <c r="L107" s="374"/>
      <c r="M107" s="375"/>
    </row>
    <row r="108" spans="3:33">
      <c r="C108" s="167"/>
      <c r="D108" s="167"/>
      <c r="E108" s="167"/>
      <c r="F108" s="167"/>
      <c r="G108" s="167"/>
      <c r="H108" s="167"/>
      <c r="I108" s="374"/>
      <c r="J108" s="374"/>
      <c r="K108" s="374"/>
      <c r="L108" s="374"/>
      <c r="M108" s="375"/>
    </row>
    <row r="109" spans="3:33">
      <c r="C109" s="167"/>
      <c r="D109" s="167"/>
      <c r="E109" s="167"/>
      <c r="F109" s="167"/>
      <c r="G109" s="167"/>
      <c r="H109" s="167"/>
      <c r="I109" s="374"/>
      <c r="J109" s="374"/>
      <c r="K109" s="374"/>
      <c r="L109" s="374"/>
      <c r="M109" s="375"/>
    </row>
    <row r="110" spans="3:33">
      <c r="C110" s="167"/>
      <c r="D110" s="167"/>
      <c r="E110" s="167"/>
      <c r="F110" s="167"/>
      <c r="G110" s="167"/>
      <c r="H110" s="167"/>
      <c r="I110" s="374"/>
      <c r="J110" s="374"/>
      <c r="K110" s="374"/>
      <c r="L110" s="374"/>
      <c r="M110" s="375"/>
    </row>
    <row r="111" spans="3:33">
      <c r="C111" s="167"/>
      <c r="D111" s="167"/>
      <c r="E111" s="167"/>
      <c r="F111" s="167"/>
      <c r="G111" s="167"/>
      <c r="H111" s="167"/>
      <c r="I111" s="374"/>
      <c r="J111" s="374"/>
      <c r="K111" s="374"/>
      <c r="L111" s="374"/>
      <c r="M111" s="375"/>
    </row>
    <row r="112" spans="3:33">
      <c r="C112" s="167"/>
      <c r="D112" s="167"/>
      <c r="E112" s="167"/>
      <c r="F112" s="167"/>
      <c r="G112" s="167"/>
      <c r="H112" s="167"/>
      <c r="I112" s="374"/>
      <c r="J112" s="374"/>
      <c r="K112" s="374"/>
      <c r="L112" s="374"/>
      <c r="M112" s="375"/>
    </row>
    <row r="113" spans="3:13">
      <c r="C113" s="167"/>
      <c r="D113" s="167"/>
      <c r="E113" s="167"/>
      <c r="F113" s="167"/>
      <c r="G113" s="167"/>
      <c r="H113" s="167"/>
      <c r="I113" s="374"/>
      <c r="J113" s="374"/>
      <c r="K113" s="374"/>
      <c r="L113" s="374"/>
      <c r="M113" s="375"/>
    </row>
    <row r="114" spans="3:13">
      <c r="C114" s="167"/>
      <c r="D114" s="167"/>
      <c r="E114" s="167"/>
      <c r="F114" s="167"/>
      <c r="G114" s="167"/>
      <c r="H114" s="167"/>
      <c r="I114" s="374"/>
      <c r="J114" s="374"/>
      <c r="K114" s="374"/>
      <c r="L114" s="374"/>
      <c r="M114" s="375"/>
    </row>
    <row r="115" spans="3:13">
      <c r="C115" s="167"/>
      <c r="D115" s="167"/>
      <c r="E115" s="167"/>
      <c r="F115" s="167"/>
      <c r="G115" s="167"/>
      <c r="H115" s="167"/>
      <c r="I115" s="374"/>
      <c r="J115" s="374"/>
      <c r="K115" s="374"/>
      <c r="L115" s="374"/>
      <c r="M115" s="375"/>
    </row>
    <row r="116" spans="3:13">
      <c r="C116" s="167"/>
      <c r="F116" s="167"/>
      <c r="G116" s="167"/>
      <c r="I116" s="374"/>
      <c r="J116" s="374"/>
      <c r="K116" s="374"/>
      <c r="L116" s="374"/>
      <c r="M116" s="375"/>
    </row>
    <row r="117" spans="3:13">
      <c r="C117" s="167"/>
      <c r="D117" s="167"/>
      <c r="E117" s="167"/>
      <c r="F117" s="167"/>
      <c r="G117" s="167"/>
      <c r="H117" s="167"/>
      <c r="I117" s="374"/>
      <c r="J117" s="374"/>
      <c r="K117" s="374"/>
      <c r="L117" s="374"/>
      <c r="M117" s="375"/>
    </row>
    <row r="118" spans="3:13">
      <c r="C118" s="167"/>
      <c r="D118" s="167"/>
      <c r="E118" s="167"/>
      <c r="F118" s="167"/>
      <c r="G118" s="167"/>
      <c r="H118" s="167"/>
      <c r="I118" s="374"/>
      <c r="J118" s="374"/>
      <c r="K118" s="374"/>
      <c r="L118" s="374"/>
      <c r="M118" s="375"/>
    </row>
    <row r="119" spans="3:13">
      <c r="C119" s="167"/>
      <c r="D119" s="167"/>
      <c r="E119" s="167"/>
      <c r="F119" s="167"/>
      <c r="G119" s="167"/>
      <c r="H119" s="167"/>
      <c r="I119" s="374"/>
      <c r="J119" s="374"/>
      <c r="K119" s="374"/>
      <c r="L119" s="374"/>
      <c r="M119" s="375"/>
    </row>
    <row r="120" spans="3:13">
      <c r="C120" s="167"/>
      <c r="D120" s="167"/>
      <c r="E120" s="167"/>
      <c r="F120" s="167"/>
      <c r="G120" s="167"/>
      <c r="H120" s="167"/>
      <c r="I120" s="374"/>
      <c r="J120" s="374"/>
      <c r="K120" s="374"/>
      <c r="L120" s="374"/>
      <c r="M120" s="375"/>
    </row>
    <row r="121" spans="3:13">
      <c r="C121" s="167"/>
      <c r="D121" s="167"/>
      <c r="E121" s="167"/>
      <c r="F121" s="167"/>
      <c r="G121" s="167"/>
      <c r="H121" s="167"/>
      <c r="I121" s="374"/>
      <c r="J121" s="374"/>
      <c r="K121" s="374"/>
      <c r="L121" s="374"/>
      <c r="M121" s="375"/>
    </row>
    <row r="122" spans="3:13">
      <c r="C122" s="167"/>
      <c r="D122" s="167"/>
      <c r="E122" s="167"/>
      <c r="F122" s="167"/>
      <c r="G122" s="167"/>
      <c r="H122" s="167"/>
      <c r="I122" s="374"/>
      <c r="J122" s="374"/>
      <c r="K122" s="374"/>
      <c r="L122" s="374"/>
      <c r="M122" s="375"/>
    </row>
    <row r="123" spans="3:13">
      <c r="C123" s="167"/>
      <c r="D123" s="167"/>
      <c r="E123" s="167"/>
      <c r="F123" s="167"/>
      <c r="G123" s="167"/>
      <c r="H123" s="167"/>
      <c r="I123" s="374"/>
      <c r="J123" s="374"/>
      <c r="K123" s="374"/>
      <c r="L123" s="374"/>
      <c r="M123" s="375"/>
    </row>
    <row r="124" spans="3:13">
      <c r="C124" s="167"/>
      <c r="D124" s="167"/>
      <c r="E124" s="167"/>
      <c r="F124" s="167"/>
      <c r="G124" s="167"/>
      <c r="H124" s="167"/>
      <c r="I124" s="374"/>
      <c r="J124" s="374"/>
      <c r="K124" s="374"/>
      <c r="L124" s="374"/>
      <c r="M124" s="375"/>
    </row>
    <row r="125" spans="3:13">
      <c r="C125" s="167"/>
      <c r="D125" s="167"/>
      <c r="E125" s="167"/>
      <c r="F125" s="167"/>
      <c r="G125" s="167"/>
      <c r="H125" s="167"/>
      <c r="I125" s="374"/>
      <c r="J125" s="374"/>
      <c r="K125" s="374"/>
      <c r="L125" s="374"/>
      <c r="M125" s="375"/>
    </row>
    <row r="126" spans="3:13">
      <c r="C126" s="167"/>
      <c r="D126" s="167"/>
      <c r="E126" s="167"/>
      <c r="F126" s="167"/>
      <c r="G126" s="167"/>
      <c r="H126" s="167"/>
      <c r="I126" s="374"/>
      <c r="J126" s="374"/>
      <c r="K126" s="374"/>
      <c r="L126" s="374"/>
      <c r="M126" s="375"/>
    </row>
    <row r="127" spans="3:13">
      <c r="C127" s="167"/>
      <c r="D127" s="167"/>
      <c r="E127" s="167"/>
      <c r="F127" s="167"/>
      <c r="G127" s="167"/>
      <c r="H127" s="167"/>
      <c r="I127" s="374"/>
      <c r="J127" s="374"/>
      <c r="K127" s="374"/>
      <c r="L127" s="374"/>
      <c r="M127" s="375"/>
    </row>
    <row r="128" spans="3:13">
      <c r="C128" s="167"/>
      <c r="D128" s="167"/>
      <c r="E128" s="167"/>
      <c r="F128" s="167"/>
      <c r="G128" s="167"/>
      <c r="H128" s="167"/>
      <c r="I128" s="374"/>
      <c r="J128" s="374"/>
      <c r="K128" s="374"/>
      <c r="L128" s="374"/>
      <c r="M128" s="375"/>
    </row>
    <row r="129" spans="3:13">
      <c r="C129" s="167"/>
      <c r="D129" s="167"/>
      <c r="E129" s="167"/>
      <c r="F129" s="167"/>
      <c r="G129" s="167"/>
      <c r="H129" s="167"/>
      <c r="I129" s="374"/>
      <c r="J129" s="374"/>
      <c r="K129" s="374"/>
      <c r="L129" s="374"/>
      <c r="M129" s="375"/>
    </row>
    <row r="130" spans="3:13">
      <c r="C130" s="167"/>
      <c r="D130" s="167"/>
      <c r="E130" s="167"/>
      <c r="F130" s="167"/>
      <c r="G130" s="167"/>
      <c r="H130" s="167"/>
      <c r="I130" s="374"/>
      <c r="J130" s="374"/>
      <c r="K130" s="374"/>
      <c r="L130" s="374"/>
      <c r="M130" s="375"/>
    </row>
    <row r="131" spans="3:13">
      <c r="C131" s="167"/>
      <c r="D131" s="167"/>
      <c r="E131" s="167"/>
      <c r="F131" s="167"/>
      <c r="G131" s="167"/>
      <c r="H131" s="167"/>
      <c r="I131" s="374"/>
      <c r="J131" s="374"/>
      <c r="K131" s="374"/>
      <c r="L131" s="374"/>
      <c r="M131" s="375"/>
    </row>
    <row r="132" spans="3:13">
      <c r="C132" s="167"/>
      <c r="D132" s="167"/>
      <c r="E132" s="167"/>
      <c r="F132" s="167"/>
      <c r="G132" s="167"/>
      <c r="H132" s="167"/>
      <c r="I132" s="374"/>
      <c r="J132" s="374"/>
      <c r="K132" s="374"/>
      <c r="L132" s="374"/>
      <c r="M132" s="375"/>
    </row>
    <row r="133" spans="3:13">
      <c r="C133" s="167"/>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40625" defaultRowHeight="12.75"/>
  <cols>
    <col min="1" max="1" width="2.5703125" style="97" customWidth="1"/>
    <col min="2" max="2" width="4.42578125" style="97" customWidth="1"/>
    <col min="3" max="3" width="40.42578125" style="97" customWidth="1"/>
    <col min="4" max="7" width="9.42578125" style="97" customWidth="1"/>
    <col min="8" max="8" width="10.140625" style="97" customWidth="1"/>
    <col min="9" max="9" width="9.5703125" style="97" bestFit="1" customWidth="1"/>
    <col min="10" max="10" width="11.5703125" style="97" bestFit="1" customWidth="1"/>
    <col min="11" max="12" width="8.5703125" style="97" customWidth="1"/>
    <col min="13" max="13" width="15.42578125" style="97" customWidth="1"/>
    <col min="14" max="15" width="8.5703125" style="97" customWidth="1"/>
    <col min="16" max="18" width="9.140625" style="97"/>
    <col min="19" max="21" width="9.140625" style="50" customWidth="1"/>
    <col min="22" max="16384" width="9.140625" style="97"/>
  </cols>
  <sheetData>
    <row r="1" spans="2:22" s="50" customFormat="1" ht="15" customHeight="1">
      <c r="B1" s="49"/>
      <c r="C1" s="49"/>
      <c r="F1" s="156"/>
      <c r="G1" s="156"/>
    </row>
    <row r="2" spans="2:22" ht="24" customHeight="1">
      <c r="B2" s="8"/>
      <c r="C2" s="51" t="str">
        <f>IF(Indice_index!$Z$1=1,"15 - Execução Orçamental da Administração Local","15 - Local Government Budget Execution")</f>
        <v>15 - Local Government Budget Execution</v>
      </c>
      <c r="D2" s="51"/>
      <c r="E2" s="51"/>
      <c r="F2" s="51"/>
      <c r="G2" s="51"/>
      <c r="S2" s="81"/>
      <c r="U2" s="81"/>
    </row>
    <row r="3" spans="2:22" ht="15" customHeight="1">
      <c r="S3" s="81"/>
    </row>
    <row r="4" spans="2:22" ht="15" customHeight="1">
      <c r="S4" s="81"/>
    </row>
    <row r="5" spans="2:22" s="251" customFormat="1" ht="15" customHeight="1">
      <c r="C5" s="847" t="str">
        <f>+'5 - Conta AC + SS'!C5</f>
        <v>Period: January to May</v>
      </c>
      <c r="D5" s="1400"/>
      <c r="E5" s="1400"/>
      <c r="F5" s="1401"/>
      <c r="G5" s="852" t="str">
        <f>IF(Indice_index!$Z$1=1,"€ Milhões","€ Millions")</f>
        <v>€ Millions</v>
      </c>
      <c r="S5" s="249"/>
      <c r="T5" s="249"/>
      <c r="U5" s="249"/>
    </row>
    <row r="6" spans="2:22" ht="24" customHeight="1">
      <c r="C6" s="1725"/>
      <c r="D6" s="1727" t="str">
        <f>IF(Indice_index!$Z$1=1,"Execução Acumulada","Accumulated Execution")</f>
        <v>Accumulated Execution</v>
      </c>
      <c r="E6" s="1727"/>
      <c r="F6" s="1728" t="str">
        <f>IF(Indice_index!$Z$1=1,"Variação Homóloga Acumulada","YOY Change Rate (%)")</f>
        <v>YOY Change Rate (%)</v>
      </c>
      <c r="G6" s="1729"/>
    </row>
    <row r="7" spans="2:22" ht="36" customHeight="1">
      <c r="C7" s="1726"/>
      <c r="D7" s="1402">
        <v>2021</v>
      </c>
      <c r="E7" s="1402">
        <v>2022</v>
      </c>
      <c r="F7" s="1380" t="str">
        <f>IF(Indice_index!$Z$1=1,"TVH (%)","YOY Change Rate (%)")</f>
        <v>YOY Change Rate (%)</v>
      </c>
      <c r="G7" s="1379" t="str">
        <f>IF(Indice_index!$Z$1=1,"Contributo    VH (p.p.)","YOY Change Contrib. (p.p.)")</f>
        <v>YOY Change Contrib. (p.p.)</v>
      </c>
      <c r="H7" s="247"/>
      <c r="I7" s="247"/>
      <c r="J7"/>
    </row>
    <row r="8" spans="2:22" s="251" customFormat="1" ht="15" customHeight="1">
      <c r="C8" s="1403" t="str">
        <f>IF(Indice_index!$Z$1=1,"Receita corrente","Current revenue")</f>
        <v>Current revenue</v>
      </c>
      <c r="D8" s="1404">
        <v>2621.1308952510908</v>
      </c>
      <c r="E8" s="1404">
        <v>3072.1152680260293</v>
      </c>
      <c r="F8" s="303">
        <f t="shared" ref="F8:F19" si="0">IFERROR(IF(ABS((E8-D8)/D8)*100&gt;500,"n.r.",((E8-D8)/D8)*100),0)</f>
        <v>17.205717333385461</v>
      </c>
      <c r="G8" s="160">
        <f>IFERROR((E8-D8)/D43*100,"-")</f>
        <v>14.515629298033916</v>
      </c>
      <c r="H8" s="450"/>
      <c r="I8" s="450"/>
      <c r="J8" s="451"/>
      <c r="K8" s="450"/>
      <c r="L8" s="303"/>
      <c r="M8" s="312"/>
      <c r="N8" s="312"/>
      <c r="O8" s="160"/>
      <c r="P8" s="160"/>
      <c r="Q8" s="313"/>
      <c r="R8" s="313"/>
      <c r="S8" s="314"/>
      <c r="T8" s="314"/>
      <c r="U8" s="314"/>
      <c r="V8" s="315"/>
    </row>
    <row r="9" spans="2:22" ht="15" customHeight="1">
      <c r="C9" s="1405" t="str">
        <f>IF(Indice_index!$Z$1=1,"Receita Fiscal","Tax income")</f>
        <v>Tax income</v>
      </c>
      <c r="D9" s="1406">
        <v>688.26018256555449</v>
      </c>
      <c r="E9" s="1406">
        <v>954.84148255574792</v>
      </c>
      <c r="F9" s="1156">
        <f t="shared" si="0"/>
        <v>38.732634364592556</v>
      </c>
      <c r="G9" s="1407">
        <f>IFERROR((E9-D9)/D43*100,"-")</f>
        <v>8.5803312975918171</v>
      </c>
      <c r="H9" s="450"/>
      <c r="I9" s="450"/>
      <c r="J9" s="451"/>
      <c r="K9" s="216"/>
      <c r="L9" s="157"/>
      <c r="M9" s="158"/>
      <c r="N9" s="158"/>
      <c r="O9" s="159"/>
      <c r="P9" s="160"/>
      <c r="Q9" s="161"/>
      <c r="R9" s="161"/>
      <c r="S9" s="162"/>
      <c r="T9" s="162"/>
      <c r="U9" s="162"/>
      <c r="V9" s="112"/>
    </row>
    <row r="10" spans="2:22" ht="15" customHeight="1">
      <c r="C10" s="1408" t="str">
        <f>IF(Indice_index!$Z$1=1,"Impostos diretos","Direct taxes")</f>
        <v>Direct taxes</v>
      </c>
      <c r="D10" s="1406">
        <v>679.63349710062698</v>
      </c>
      <c r="E10" s="1406">
        <v>947.83777287567921</v>
      </c>
      <c r="F10" s="1156">
        <f t="shared" si="0"/>
        <v>39.463074865973205</v>
      </c>
      <c r="G10" s="1407">
        <f>IFERROR((E10-D10)/D43*100,"-")</f>
        <v>8.6325692824863687</v>
      </c>
      <c r="H10" s="450"/>
      <c r="I10" s="450"/>
      <c r="J10" s="451"/>
      <c r="K10" s="216"/>
      <c r="L10" s="157"/>
      <c r="M10" s="158"/>
      <c r="N10" s="158"/>
      <c r="O10" s="159"/>
      <c r="P10" s="160"/>
      <c r="Q10" s="161"/>
      <c r="R10" s="161"/>
      <c r="S10" s="162"/>
      <c r="T10" s="162"/>
      <c r="U10" s="162"/>
      <c r="V10" s="112"/>
    </row>
    <row r="11" spans="2:22" ht="15" customHeight="1">
      <c r="C11" s="1409" t="str">
        <f>IF(Indice_index!$Z$1=1,"Imposto Municipal sobre Transmissões","Municipal Property Transfer Tax")</f>
        <v>Municipal Property Transfer Tax</v>
      </c>
      <c r="D11" s="1406">
        <v>475.09180327829318</v>
      </c>
      <c r="E11" s="1406">
        <v>725.09189892841005</v>
      </c>
      <c r="F11" s="1156">
        <f t="shared" si="0"/>
        <v>52.621428937529998</v>
      </c>
      <c r="G11" s="1407">
        <f>IFERROR((E11-D11)/D43*100,"-")</f>
        <v>8.0466395999515186</v>
      </c>
      <c r="H11" s="450"/>
      <c r="I11" s="450"/>
      <c r="J11" s="451"/>
      <c r="K11" s="216"/>
      <c r="L11" s="157"/>
      <c r="M11" s="158"/>
      <c r="N11" s="158"/>
      <c r="O11" s="159"/>
      <c r="P11" s="160"/>
      <c r="Q11" s="161"/>
      <c r="R11" s="161"/>
      <c r="S11" s="162"/>
      <c r="T11" s="162"/>
      <c r="U11" s="162"/>
      <c r="V11" s="112"/>
    </row>
    <row r="12" spans="2:22" ht="15" customHeight="1">
      <c r="C12" s="1409" t="str">
        <f>IF(Indice_index!$Z$1=1,"Imposto Municipal sobre Imóveis","Municipal Real Estate Tax")</f>
        <v>Municipal Real Estate Tax</v>
      </c>
      <c r="D12" s="1406">
        <v>59.311849731250021</v>
      </c>
      <c r="E12" s="1406">
        <v>72.158463649410152</v>
      </c>
      <c r="F12" s="1156">
        <f t="shared" si="0"/>
        <v>21.659439009860371</v>
      </c>
      <c r="G12" s="1407">
        <f>IFERROR((E12-D12)/D43*100,"-")</f>
        <v>0.41348813091587039</v>
      </c>
      <c r="H12" s="450"/>
      <c r="I12" s="450"/>
      <c r="J12" s="451"/>
      <c r="K12" s="216"/>
      <c r="L12" s="157"/>
      <c r="M12" s="158"/>
      <c r="N12" s="158"/>
      <c r="O12" s="159"/>
      <c r="P12" s="160"/>
      <c r="Q12" s="161"/>
      <c r="R12" s="161"/>
      <c r="S12" s="162"/>
      <c r="T12" s="162"/>
      <c r="U12" s="162"/>
      <c r="V12" s="112"/>
    </row>
    <row r="13" spans="2:22" ht="15" customHeight="1">
      <c r="C13" s="1409" t="str">
        <f>IF(Indice_index!$Z$1=1,"Imposto Único de Circulação","Municipal Vehicle Tax")</f>
        <v>Municipal Vehicle Tax</v>
      </c>
      <c r="D13" s="1406">
        <v>118.51841615861537</v>
      </c>
      <c r="E13" s="1406">
        <v>123.88128627547619</v>
      </c>
      <c r="F13" s="1156">
        <f t="shared" si="0"/>
        <v>4.5249255691061476</v>
      </c>
      <c r="G13" s="1407">
        <f>IFERROR((E13-D13)/D43*100,"-")</f>
        <v>0.17261226616538183</v>
      </c>
      <c r="H13" s="450"/>
      <c r="I13" s="450"/>
      <c r="J13" s="451"/>
      <c r="K13" s="216"/>
      <c r="L13" s="157"/>
      <c r="M13" s="158"/>
      <c r="N13" s="158"/>
      <c r="O13" s="159"/>
      <c r="P13" s="160"/>
      <c r="Q13" s="161"/>
      <c r="R13" s="161"/>
      <c r="S13" s="162"/>
      <c r="T13" s="162"/>
      <c r="U13" s="162"/>
      <c r="V13" s="112"/>
    </row>
    <row r="14" spans="2:22" ht="15" customHeight="1">
      <c r="C14" s="1409" t="str">
        <f>IF(Indice_index!$Z$1=1,"Derrama","Overtax")</f>
        <v>Overtax</v>
      </c>
      <c r="D14" s="1406">
        <v>26.311108262468426</v>
      </c>
      <c r="E14" s="1406">
        <v>26.384506861514769</v>
      </c>
      <c r="F14" s="1156">
        <f t="shared" si="0"/>
        <v>0.27896430022691998</v>
      </c>
      <c r="G14" s="1407">
        <f>IFERROR((E14-D14)/D43*100,"-")</f>
        <v>2.3624473907955736E-3</v>
      </c>
      <c r="H14" s="450"/>
      <c r="I14" s="450"/>
      <c r="J14" s="451"/>
      <c r="K14" s="216"/>
      <c r="L14" s="157"/>
      <c r="M14" s="158"/>
      <c r="N14" s="158"/>
      <c r="O14" s="159"/>
      <c r="P14" s="160"/>
      <c r="Q14" s="161"/>
      <c r="R14" s="161"/>
      <c r="S14" s="162"/>
      <c r="T14" s="162"/>
      <c r="U14" s="162"/>
      <c r="V14" s="112"/>
    </row>
    <row r="15" spans="2:22" ht="15" customHeight="1">
      <c r="C15" s="1409" t="str">
        <f>IF(Indice_index!$Z$1=1,"Outros ","Others")</f>
        <v>Others</v>
      </c>
      <c r="D15" s="1406">
        <v>0.40031967000000002</v>
      </c>
      <c r="E15" s="1406">
        <v>0.32161716086807463</v>
      </c>
      <c r="F15" s="1156">
        <f t="shared" si="0"/>
        <v>-19.659915569955729</v>
      </c>
      <c r="G15" s="1407">
        <f>IFERROR((E15-D15)/D43*100,"-")</f>
        <v>-2.533161937197046E-3</v>
      </c>
      <c r="H15" s="450"/>
      <c r="I15" s="450"/>
      <c r="J15" s="451"/>
      <c r="K15" s="216"/>
      <c r="L15" s="157"/>
      <c r="M15" s="158"/>
      <c r="N15" s="158"/>
      <c r="O15" s="159"/>
      <c r="P15" s="160"/>
      <c r="Q15" s="161"/>
      <c r="R15" s="161"/>
      <c r="S15" s="162"/>
      <c r="T15" s="162"/>
      <c r="U15" s="162"/>
      <c r="V15" s="112"/>
    </row>
    <row r="16" spans="2:22" ht="15" customHeight="1">
      <c r="C16" s="1408" t="str">
        <f>IF(Indice_index!$Z$1=1,"Impostos indiretos","Indirect taxes")</f>
        <v>Indirect taxes</v>
      </c>
      <c r="D16" s="1406">
        <v>8.626685464927462</v>
      </c>
      <c r="E16" s="1406">
        <v>7.0037096800687637</v>
      </c>
      <c r="F16" s="1156">
        <f t="shared" si="0"/>
        <v>-18.813434098844187</v>
      </c>
      <c r="G16" s="1407">
        <f>IFERROR((E16-D16)/D43*100,"-")</f>
        <v>-5.2237984894548152E-2</v>
      </c>
      <c r="H16" s="450"/>
      <c r="I16" s="450"/>
      <c r="J16" s="451"/>
      <c r="K16" s="216"/>
      <c r="L16" s="157"/>
      <c r="M16" s="158"/>
      <c r="N16" s="158"/>
      <c r="O16" s="159"/>
      <c r="P16" s="160"/>
      <c r="Q16" s="161"/>
      <c r="R16" s="161"/>
      <c r="S16" s="162"/>
      <c r="T16" s="162"/>
      <c r="U16" s="162"/>
      <c r="V16" s="112"/>
    </row>
    <row r="17" spans="3:22" ht="15" customHeight="1">
      <c r="C17" s="1405" t="str">
        <f>IF(Indice_index!$Z$1=1,"Taxas, Multas e Outras Penalidades","Taxes, fines and other penalties")</f>
        <v>Taxes, fines and other penalties</v>
      </c>
      <c r="D17" s="1406">
        <v>131.59700307502192</v>
      </c>
      <c r="E17" s="1406">
        <v>164.38767125245485</v>
      </c>
      <c r="F17" s="1156">
        <f t="shared" si="0"/>
        <v>24.91748855309369</v>
      </c>
      <c r="G17" s="1407">
        <f>IFERROR((E17-D17)/D43*100,"-")</f>
        <v>1.0554183524580527</v>
      </c>
      <c r="H17" s="450"/>
      <c r="I17" s="450"/>
      <c r="J17" s="451"/>
      <c r="K17" s="216"/>
      <c r="L17" s="157"/>
      <c r="M17" s="158"/>
      <c r="N17" s="158"/>
      <c r="O17" s="159"/>
      <c r="P17" s="160"/>
      <c r="Q17" s="161"/>
      <c r="R17" s="161"/>
      <c r="S17" s="162"/>
      <c r="T17" s="162"/>
      <c r="U17" s="162"/>
      <c r="V17" s="112"/>
    </row>
    <row r="18" spans="3:22" ht="15" customHeight="1">
      <c r="C18" s="1405" t="str">
        <f>IF(Indice_index!$Z$1=1,"Transferências Correntes","Current transfers")</f>
        <v>Current transfers</v>
      </c>
      <c r="D18" s="1406">
        <v>1369.8562352310237</v>
      </c>
      <c r="E18" s="1406">
        <v>1483.5140642768504</v>
      </c>
      <c r="F18" s="1156">
        <f t="shared" si="0"/>
        <v>8.2970625765453789</v>
      </c>
      <c r="G18" s="1407">
        <f>IFERROR((E18-D18)/D43*100,"-")</f>
        <v>3.6582529525293865</v>
      </c>
      <c r="H18" s="450"/>
      <c r="I18" s="450"/>
      <c r="J18" s="451"/>
      <c r="K18" s="216"/>
      <c r="L18" s="157"/>
      <c r="M18" s="158"/>
      <c r="N18" s="158"/>
      <c r="O18" s="159"/>
      <c r="P18" s="160"/>
      <c r="Q18" s="161"/>
      <c r="R18" s="161"/>
      <c r="S18" s="162"/>
      <c r="T18" s="162"/>
      <c r="U18" s="162"/>
      <c r="V18" s="112"/>
    </row>
    <row r="19" spans="3:22" ht="15" customHeight="1">
      <c r="C19" s="1157" t="str">
        <f>IF(Indice_index!$Z$1=1,"Administração Central","Central Administration")</f>
        <v>Central Administration</v>
      </c>
      <c r="D19" s="1406">
        <v>1332.5478118802839</v>
      </c>
      <c r="E19" s="1406">
        <v>1396.3586872193389</v>
      </c>
      <c r="F19" s="1156">
        <f t="shared" si="0"/>
        <v>4.7886368331516005</v>
      </c>
      <c r="G19" s="1407">
        <f>IFERROR((E19-D19)/D43*100,"-")</f>
        <v>2.0538516798386253</v>
      </c>
      <c r="H19" s="450"/>
      <c r="I19" s="450"/>
      <c r="J19" s="451"/>
      <c r="K19" s="216"/>
      <c r="L19" s="157"/>
      <c r="M19" s="158"/>
      <c r="N19" s="158"/>
      <c r="O19" s="159"/>
      <c r="P19" s="160"/>
      <c r="Q19" s="161"/>
      <c r="R19" s="161"/>
      <c r="S19" s="162"/>
      <c r="T19" s="162"/>
      <c r="U19" s="162"/>
      <c r="V19" s="112"/>
    </row>
    <row r="20" spans="3:22" ht="15" customHeight="1">
      <c r="C20" s="1410" t="str">
        <f>IF(Indice_index!$Z$1=1,"das quais:","of which:")</f>
        <v>of which:</v>
      </c>
      <c r="D20" s="1406"/>
      <c r="E20" s="1406"/>
      <c r="F20" s="1156"/>
      <c r="G20" s="1407"/>
      <c r="H20" s="450"/>
      <c r="I20" s="450"/>
      <c r="J20" s="451"/>
      <c r="K20" s="216"/>
      <c r="L20" s="157"/>
      <c r="M20" s="158"/>
      <c r="N20" s="158"/>
      <c r="O20" s="159"/>
      <c r="P20" s="160"/>
      <c r="Q20" s="161"/>
      <c r="R20" s="161"/>
      <c r="S20" s="162"/>
      <c r="T20" s="162"/>
      <c r="U20" s="162"/>
      <c r="V20" s="112"/>
    </row>
    <row r="21" spans="3:22" ht="15" customHeight="1">
      <c r="C21" s="1160" t="str">
        <f>IF(Indice_index!$Z$1=1,"Transferências do OE","State Budget transfers")</f>
        <v>State Budget transfers</v>
      </c>
      <c r="D21" s="1406">
        <v>1118.2792547700001</v>
      </c>
      <c r="E21" s="1406">
        <v>1106.3088885099999</v>
      </c>
      <c r="F21" s="1156">
        <f t="shared" ref="F21:F33" si="1">IFERROR(IF(ABS((E21-D21)/D21)*100&gt;500,"n.r.",((E21-D21)/D21)*100),0)</f>
        <v>-1.0704272845034759</v>
      </c>
      <c r="G21" s="1407">
        <f>IFERROR((E21-D21)/D43*100,"-")</f>
        <v>-0.38528474528444162</v>
      </c>
      <c r="H21" s="450"/>
      <c r="I21" s="450"/>
      <c r="J21" s="451"/>
      <c r="K21" s="216"/>
      <c r="L21" s="157"/>
      <c r="M21" s="158"/>
      <c r="N21" s="158"/>
      <c r="O21" s="159"/>
      <c r="P21" s="160"/>
      <c r="Q21" s="161"/>
      <c r="R21" s="161"/>
      <c r="S21" s="162"/>
      <c r="T21" s="162"/>
      <c r="U21" s="162"/>
      <c r="V21" s="112"/>
    </row>
    <row r="22" spans="3:22" ht="15" customHeight="1">
      <c r="C22" s="1411" t="str">
        <f>IF(Indice_index!$Z$1=1,"Fundo de Equilíbrio Financeiro","Financial Balance Fund")</f>
        <v>Financial Balance Fund</v>
      </c>
      <c r="D22" s="1406">
        <v>813.33865200000002</v>
      </c>
      <c r="E22" s="1406">
        <v>809.10119999999995</v>
      </c>
      <c r="F22" s="1156">
        <f t="shared" si="1"/>
        <v>-0.52099478975703173</v>
      </c>
      <c r="G22" s="1407">
        <f>IFERROR((E22-D22)/D43*100,"-")</f>
        <v>-0.13638894408190372</v>
      </c>
      <c r="H22" s="450"/>
      <c r="I22" s="450"/>
      <c r="J22" s="451"/>
      <c r="K22" s="216"/>
      <c r="L22" s="157"/>
      <c r="M22" s="158"/>
      <c r="N22" s="158"/>
      <c r="O22" s="159"/>
      <c r="P22" s="160"/>
      <c r="Q22" s="161"/>
      <c r="R22" s="161"/>
      <c r="S22" s="162"/>
      <c r="T22" s="162"/>
      <c r="U22" s="162"/>
      <c r="V22" s="112"/>
    </row>
    <row r="23" spans="3:22" ht="15" customHeight="1">
      <c r="C23" s="1411" t="str">
        <f>IF(Indice_index!$Z$1=1,"Fundo Social Municipal","Municipal Social Fund")</f>
        <v>Municipal Social Fund</v>
      </c>
      <c r="D23" s="1406">
        <v>68.491811999999996</v>
      </c>
      <c r="E23" s="1406">
        <v>68.051824999999994</v>
      </c>
      <c r="F23" s="1156">
        <f t="shared" si="1"/>
        <v>-0.6423935754539567</v>
      </c>
      <c r="G23" s="1407">
        <f>IFERROR((E23-D23)/D43*100,"-")</f>
        <v>-1.4161661852397098E-2</v>
      </c>
      <c r="H23" s="450"/>
      <c r="I23" s="450"/>
      <c r="J23" s="451"/>
      <c r="K23" s="216"/>
      <c r="L23" s="157"/>
      <c r="M23" s="158"/>
      <c r="N23" s="158"/>
      <c r="O23" s="159"/>
      <c r="P23" s="160"/>
      <c r="Q23" s="161"/>
      <c r="R23" s="161"/>
      <c r="S23" s="162"/>
      <c r="T23" s="162"/>
      <c r="U23" s="162"/>
      <c r="V23" s="112"/>
    </row>
    <row r="24" spans="3:22" ht="15" customHeight="1">
      <c r="C24" s="1411" t="str">
        <f>IF(Indice_index!$Z$1=1,"Participação IRS","Personal income tax (IRS) participation")</f>
        <v>Personal income tax (IRS) participation</v>
      </c>
      <c r="D24" s="1406">
        <v>212.59239500000001</v>
      </c>
      <c r="E24" s="1406">
        <v>205.40438351</v>
      </c>
      <c r="F24" s="1156">
        <f t="shared" si="1"/>
        <v>-3.3811235298421694</v>
      </c>
      <c r="G24" s="1407">
        <f>IFERROR((E24-D24)/D43*100,"-")</f>
        <v>-0.23135726308396534</v>
      </c>
      <c r="H24" s="450"/>
      <c r="I24" s="450"/>
      <c r="J24" s="451"/>
      <c r="K24" s="216"/>
      <c r="L24" s="157"/>
      <c r="M24" s="158"/>
      <c r="N24" s="158"/>
      <c r="O24" s="159"/>
      <c r="P24" s="160"/>
      <c r="Q24" s="161"/>
      <c r="R24" s="161"/>
      <c r="S24" s="162"/>
      <c r="T24" s="162"/>
      <c r="U24" s="163"/>
      <c r="V24" s="112"/>
    </row>
    <row r="25" spans="3:22" ht="15" customHeight="1">
      <c r="C25" s="1411" t="str">
        <f>IF(Indice_index!$Z$1=1,"Participação no IVA","Value-added tax (IVA) participation")</f>
        <v>Value-added tax (IVA) participation</v>
      </c>
      <c r="D25" s="1406">
        <v>23.856395769999999</v>
      </c>
      <c r="E25" s="1406">
        <v>23.751480000000001</v>
      </c>
      <c r="F25" s="1156">
        <f t="shared" ref="F25" si="2">IFERROR(IF(ABS((E25-D25)/D25)*100&gt;500,"n.r.",((E25-D25)/D25)*100),0)</f>
        <v>-0.43978047233745271</v>
      </c>
      <c r="G25" s="1407">
        <f>IFERROR((E25-D25)/D43*100,"-")</f>
        <v>-3.376876266171122E-3</v>
      </c>
      <c r="H25" s="450"/>
      <c r="I25" s="450"/>
      <c r="J25" s="451"/>
      <c r="K25" s="216"/>
      <c r="L25" s="157"/>
      <c r="M25" s="158"/>
      <c r="N25" s="158"/>
      <c r="O25" s="159"/>
      <c r="P25" s="160"/>
      <c r="Q25" s="161"/>
      <c r="R25" s="161"/>
      <c r="S25" s="162"/>
      <c r="T25" s="162"/>
      <c r="U25" s="163"/>
      <c r="V25" s="112"/>
    </row>
    <row r="26" spans="3:22" ht="15" customHeight="1">
      <c r="C26" s="1408" t="str">
        <f>IF(Indice_index!$Z$1=1,"Outros subsectores das AP","Other General Government subsectors")</f>
        <v>Other General Government subsectors</v>
      </c>
      <c r="D26" s="1406">
        <v>0.78709258000091609</v>
      </c>
      <c r="E26" s="1406">
        <v>0.99468654000091605</v>
      </c>
      <c r="F26" s="1156">
        <f t="shared" si="1"/>
        <v>26.374783001989215</v>
      </c>
      <c r="G26" s="1407">
        <f>IFERROR((E26-D26)/D43*100,"-")</f>
        <v>6.6817325605530043E-3</v>
      </c>
      <c r="H26" s="450"/>
      <c r="I26" s="450"/>
      <c r="J26" s="451"/>
      <c r="K26" s="216"/>
      <c r="L26" s="157"/>
      <c r="M26" s="158"/>
      <c r="N26" s="158"/>
      <c r="O26" s="159"/>
      <c r="P26" s="160"/>
      <c r="Q26" s="161"/>
      <c r="R26" s="161"/>
      <c r="S26" s="162"/>
      <c r="T26" s="162"/>
      <c r="U26" s="162"/>
      <c r="V26" s="112"/>
    </row>
    <row r="27" spans="3:22" ht="15" customHeight="1">
      <c r="C27" s="1408" t="str">
        <f>IF(Indice_index!$Z$1=1,"União Europeia","European Union")</f>
        <v>European Union</v>
      </c>
      <c r="D27" s="1406">
        <v>27.501231729787314</v>
      </c>
      <c r="E27" s="1406">
        <v>74.428890787612659</v>
      </c>
      <c r="F27" s="1156">
        <f t="shared" si="1"/>
        <v>170.63839001435252</v>
      </c>
      <c r="G27" s="1407">
        <f>IFERROR((E27-D27)/D43*100,"-")</f>
        <v>1.5104392609361166</v>
      </c>
      <c r="H27" s="450"/>
      <c r="I27" s="450"/>
      <c r="J27" s="451"/>
      <c r="K27" s="216"/>
      <c r="L27" s="157"/>
      <c r="M27" s="158"/>
      <c r="N27" s="158"/>
      <c r="O27" s="159"/>
      <c r="P27" s="160"/>
      <c r="Q27" s="161"/>
      <c r="R27" s="161"/>
      <c r="S27" s="162"/>
      <c r="T27" s="162"/>
      <c r="U27" s="162"/>
      <c r="V27" s="112"/>
    </row>
    <row r="28" spans="3:22" ht="15" customHeight="1">
      <c r="C28" s="1408" t="str">
        <f>IF(Indice_index!$Z$1=1,"Outras transferências","Other transfers")</f>
        <v>Other transfers</v>
      </c>
      <c r="D28" s="1406">
        <v>9.0200990409514112</v>
      </c>
      <c r="E28" s="1406">
        <v>11.731799729898107</v>
      </c>
      <c r="F28" s="1156">
        <f t="shared" si="1"/>
        <v>30.06287044782464</v>
      </c>
      <c r="G28" s="1407">
        <f>IFERROR((E28-D28)/D43*100,"-")</f>
        <v>8.728027919410157E-2</v>
      </c>
      <c r="H28" s="450"/>
      <c r="I28" s="450"/>
      <c r="J28" s="451"/>
      <c r="K28" s="216"/>
      <c r="L28" s="157"/>
      <c r="M28" s="158"/>
      <c r="N28" s="158"/>
      <c r="O28" s="159"/>
      <c r="P28" s="160"/>
      <c r="Q28" s="161"/>
      <c r="R28" s="161"/>
      <c r="S28" s="162"/>
      <c r="T28" s="162"/>
      <c r="U28" s="162"/>
      <c r="V28" s="112"/>
    </row>
    <row r="29" spans="3:22" ht="15" customHeight="1">
      <c r="C29" s="1405" t="str">
        <f>IF(Indice_index!$Z$1=1,"Outras receitas correntes","Other current revenue")</f>
        <v>Other current revenue</v>
      </c>
      <c r="D29" s="1406">
        <v>431.41747437949067</v>
      </c>
      <c r="E29" s="1406">
        <v>469.37204994097647</v>
      </c>
      <c r="F29" s="1156">
        <f t="shared" si="1"/>
        <v>8.7976444663202393</v>
      </c>
      <c r="G29" s="1407">
        <f>IFERROR((E29-D29)/D43*100,"-")</f>
        <v>1.2216266954546702</v>
      </c>
      <c r="H29" s="450"/>
      <c r="I29" s="450"/>
      <c r="J29" s="451"/>
      <c r="K29" s="216"/>
      <c r="L29" s="157"/>
      <c r="M29" s="158"/>
      <c r="N29" s="158"/>
      <c r="O29" s="159"/>
      <c r="P29" s="160"/>
      <c r="Q29" s="161"/>
      <c r="R29" s="161"/>
      <c r="S29" s="162"/>
      <c r="T29" s="162"/>
      <c r="U29" s="162"/>
      <c r="V29" s="112"/>
    </row>
    <row r="30" spans="3:22" s="251" customFormat="1" ht="15" customHeight="1">
      <c r="C30" s="1412" t="str">
        <f>IF(Indice_index!$Z$1=1,"Receita de capital","Capital revenue")</f>
        <v>Capital revenue</v>
      </c>
      <c r="D30" s="1404">
        <v>485.75729757443503</v>
      </c>
      <c r="E30" s="1404">
        <v>368.95929523733724</v>
      </c>
      <c r="F30" s="303">
        <f t="shared" si="1"/>
        <v>-24.044518305810989</v>
      </c>
      <c r="G30" s="160">
        <f>IFERROR((E30-D30)/D43*100,"-")</f>
        <v>-3.7593242848844555</v>
      </c>
      <c r="H30" s="450"/>
      <c r="I30" s="450"/>
      <c r="J30" s="451"/>
      <c r="K30" s="311"/>
      <c r="L30" s="303"/>
      <c r="M30" s="312"/>
      <c r="N30" s="312"/>
      <c r="O30" s="160"/>
      <c r="P30" s="160"/>
      <c r="Q30" s="313"/>
      <c r="R30" s="313"/>
      <c r="S30" s="314"/>
      <c r="T30" s="314"/>
      <c r="U30" s="314"/>
      <c r="V30" s="315"/>
    </row>
    <row r="31" spans="3:22" ht="15" customHeight="1">
      <c r="C31" s="1405" t="str">
        <f>IF(Indice_index!$Z$1=1,"Venda de Bens de Investimento","Sale of investment goods")</f>
        <v>Sale of investment goods</v>
      </c>
      <c r="D31" s="1406">
        <v>41.945964145750331</v>
      </c>
      <c r="E31" s="1406">
        <v>17.100546963028393</v>
      </c>
      <c r="F31" s="1156">
        <f t="shared" si="1"/>
        <v>-59.231961140268844</v>
      </c>
      <c r="G31" s="1407">
        <f>IFERROR((E31-D31)/D43*100,"-")</f>
        <v>-0.7996881651581591</v>
      </c>
      <c r="H31" s="450"/>
      <c r="I31" s="450"/>
      <c r="J31" s="451"/>
      <c r="K31" s="216"/>
      <c r="L31" s="157"/>
      <c r="M31" s="158"/>
      <c r="N31" s="158"/>
      <c r="O31" s="159"/>
      <c r="P31" s="160"/>
      <c r="Q31" s="161"/>
      <c r="R31" s="161"/>
      <c r="S31" s="162"/>
      <c r="T31" s="162"/>
      <c r="U31" s="162"/>
      <c r="V31" s="112"/>
    </row>
    <row r="32" spans="3:22" ht="15" customHeight="1">
      <c r="C32" s="1405" t="str">
        <f>IF(Indice_index!$Z$1=1,"Transferências de Capital","Capital transfers")</f>
        <v>Capital transfers</v>
      </c>
      <c r="D32" s="1406">
        <v>437.78047031421187</v>
      </c>
      <c r="E32" s="1406">
        <v>341.87888611353424</v>
      </c>
      <c r="F32" s="1156">
        <f t="shared" si="1"/>
        <v>-21.906318509787653</v>
      </c>
      <c r="G32" s="1407">
        <f>IFERROR((E32-D32)/D43*100,"-")</f>
        <v>-3.0867407595205725</v>
      </c>
      <c r="H32" s="450"/>
      <c r="I32" s="450"/>
      <c r="J32" s="451"/>
      <c r="K32" s="216"/>
      <c r="L32" s="157"/>
      <c r="M32" s="158"/>
      <c r="N32" s="158"/>
      <c r="O32" s="159"/>
      <c r="P32" s="160"/>
      <c r="Q32" s="161"/>
      <c r="R32" s="161"/>
      <c r="S32" s="162"/>
      <c r="T32" s="162"/>
      <c r="U32" s="162"/>
      <c r="V32" s="112"/>
    </row>
    <row r="33" spans="3:22" ht="15" customHeight="1">
      <c r="C33" s="1157" t="str">
        <f>IF(Indice_index!$Z$1=1,"Administração Central","Central Administration")</f>
        <v>Central Administration</v>
      </c>
      <c r="D33" s="1406">
        <v>172.19917189482382</v>
      </c>
      <c r="E33" s="1406">
        <v>176.69555212442322</v>
      </c>
      <c r="F33" s="1156">
        <f t="shared" si="1"/>
        <v>2.611150901669669</v>
      </c>
      <c r="G33" s="1407">
        <f>IFERROR((E33-D33)/D43*100,"-")</f>
        <v>0.14472294947666628</v>
      </c>
      <c r="H33" s="450"/>
      <c r="I33" s="450"/>
      <c r="J33" s="451"/>
      <c r="K33" s="216"/>
      <c r="L33" s="157"/>
      <c r="M33" s="158"/>
      <c r="N33" s="158"/>
      <c r="O33" s="159"/>
      <c r="P33" s="160"/>
      <c r="Q33" s="161"/>
      <c r="R33" s="161"/>
      <c r="S33" s="162"/>
      <c r="T33" s="162"/>
      <c r="U33" s="162"/>
      <c r="V33" s="112"/>
    </row>
    <row r="34" spans="3:22" ht="15" customHeight="1">
      <c r="C34" s="1410" t="str">
        <f>IF(Indice_index!$Z$1=1,"das quais:","of which:")</f>
        <v>of which:</v>
      </c>
      <c r="D34" s="1406"/>
      <c r="E34" s="1406"/>
      <c r="F34" s="1156"/>
      <c r="G34" s="1407"/>
      <c r="H34" s="450"/>
      <c r="I34" s="450"/>
      <c r="J34" s="451"/>
      <c r="K34" s="216"/>
      <c r="L34" s="157"/>
      <c r="M34" s="158"/>
      <c r="N34" s="158"/>
      <c r="O34" s="159"/>
      <c r="P34" s="160"/>
      <c r="Q34" s="161"/>
      <c r="R34" s="161"/>
      <c r="S34" s="162"/>
      <c r="T34" s="162"/>
      <c r="U34" s="162"/>
      <c r="V34" s="112"/>
    </row>
    <row r="35" spans="3:22" ht="15" customHeight="1">
      <c r="C35" s="1160" t="str">
        <f>IF(Indice_index!$Z$1=1,"Transferências do OE","State Budget transfers")</f>
        <v>State Budget transfers</v>
      </c>
      <c r="D35" s="1406">
        <v>162.15609469999998</v>
      </c>
      <c r="E35" s="1406">
        <v>161.23076601999998</v>
      </c>
      <c r="F35" s="1156">
        <f t="shared" ref="F35:F41" si="3">IFERROR(IF(ABS((E35-D35)/D35)*100&gt;500,"n.r.",((E35-D35)/D35)*100),0)</f>
        <v>-0.57064070376875387</v>
      </c>
      <c r="G35" s="1407">
        <f>IFERROR((E35-D35)/D43*100,"-")</f>
        <v>-2.9783134202794621E-2</v>
      </c>
      <c r="H35" s="450"/>
      <c r="I35" s="450"/>
      <c r="J35" s="451"/>
      <c r="K35" s="216"/>
      <c r="L35" s="157"/>
      <c r="M35" s="158"/>
      <c r="N35" s="158"/>
      <c r="O35" s="159"/>
      <c r="P35" s="160"/>
      <c r="Q35" s="161"/>
      <c r="R35" s="161"/>
      <c r="S35" s="162"/>
      <c r="T35" s="162"/>
      <c r="U35" s="162"/>
      <c r="V35" s="112"/>
    </row>
    <row r="36" spans="3:22" ht="15" customHeight="1">
      <c r="C36" s="1411" t="str">
        <f>IF(Indice_index!$Z$1=1,"Fundo de Equilíbrio Financeiro","Financial Balance Fund")</f>
        <v>Financial Balance Fund</v>
      </c>
      <c r="D36" s="1406">
        <v>92.440207700000002</v>
      </c>
      <c r="E36" s="1406">
        <v>91.869566019999994</v>
      </c>
      <c r="F36" s="1156">
        <f t="shared" si="3"/>
        <v>-0.61730895483482184</v>
      </c>
      <c r="G36" s="1407">
        <f>IFERROR((E36-D36)/D43*100,"-")</f>
        <v>-1.8366984731466779E-2</v>
      </c>
      <c r="H36" s="450"/>
      <c r="I36" s="450"/>
      <c r="J36" s="451"/>
      <c r="K36" s="216"/>
      <c r="L36" s="157"/>
      <c r="M36" s="158"/>
      <c r="N36" s="158"/>
      <c r="O36" s="159"/>
      <c r="P36" s="160"/>
      <c r="Q36" s="161"/>
      <c r="R36" s="161"/>
      <c r="S36" s="162"/>
      <c r="T36" s="162"/>
      <c r="U36" s="162"/>
      <c r="V36" s="112"/>
    </row>
    <row r="37" spans="3:22" ht="15" customHeight="1">
      <c r="C37" s="1411" t="str">
        <f>IF(Indice_index!$Z$1=1,"Adicional 2018","Additional 2018")</f>
        <v>Additional 2018</v>
      </c>
      <c r="D37" s="1406">
        <v>69.715886999999995</v>
      </c>
      <c r="E37" s="1406">
        <v>69.361199999999997</v>
      </c>
      <c r="F37" s="1156">
        <f t="shared" si="3"/>
        <v>-0.5087606502087515</v>
      </c>
      <c r="G37" s="1407">
        <f>IFERROR((E37-D37)/D43*100,"-")</f>
        <v>-1.1416149471327842E-2</v>
      </c>
      <c r="H37" s="450"/>
      <c r="I37" s="450"/>
      <c r="J37" s="451"/>
      <c r="K37" s="216"/>
      <c r="L37" s="157"/>
      <c r="M37" s="158"/>
      <c r="N37" s="158"/>
      <c r="O37" s="159"/>
      <c r="P37" s="160"/>
      <c r="Q37" s="161"/>
      <c r="R37" s="161"/>
      <c r="S37" s="162"/>
      <c r="T37" s="162"/>
      <c r="U37" s="162"/>
      <c r="V37" s="112"/>
    </row>
    <row r="38" spans="3:22" ht="15" customHeight="1">
      <c r="C38" s="1408" t="str">
        <f>IF(Indice_index!$Z$1=1,"Outros subsectores das AP","Other General Government subsectors")</f>
        <v>Other General Government subsectors</v>
      </c>
      <c r="D38" s="1406">
        <v>1.3811830200001154</v>
      </c>
      <c r="E38" s="1406">
        <v>2.3830092700001155</v>
      </c>
      <c r="F38" s="1156">
        <f t="shared" si="3"/>
        <v>72.533924577201674</v>
      </c>
      <c r="G38" s="1407">
        <f>IFERROR((E38-D38)/D43*100,"-")</f>
        <v>3.2245326765006632E-2</v>
      </c>
      <c r="H38" s="450"/>
      <c r="I38" s="450"/>
      <c r="J38" s="451"/>
      <c r="K38" s="216"/>
      <c r="L38" s="157"/>
      <c r="M38" s="158"/>
      <c r="N38" s="158"/>
      <c r="O38" s="159"/>
      <c r="P38" s="160"/>
      <c r="Q38" s="161"/>
      <c r="R38" s="161"/>
      <c r="S38" s="162"/>
      <c r="T38" s="162"/>
      <c r="U38" s="162"/>
      <c r="V38" s="112"/>
    </row>
    <row r="39" spans="3:22" ht="15" customHeight="1">
      <c r="C39" s="1408" t="str">
        <f>IF(Indice_index!$Z$1=1,"União Europeia","European Union")</f>
        <v>European Union</v>
      </c>
      <c r="D39" s="1406">
        <v>261.90449550938791</v>
      </c>
      <c r="E39" s="1406">
        <v>160.94656576249486</v>
      </c>
      <c r="F39" s="1156">
        <f t="shared" si="3"/>
        <v>-38.547612384635158</v>
      </c>
      <c r="G39" s="1407">
        <f>IFERROR((E39-D39)/D43*100,"-")</f>
        <v>-3.2494870584666247</v>
      </c>
      <c r="H39" s="450"/>
      <c r="I39" s="450"/>
      <c r="J39" s="451"/>
      <c r="K39" s="216"/>
      <c r="L39" s="157"/>
      <c r="M39" s="158"/>
      <c r="N39" s="158"/>
      <c r="O39" s="159"/>
      <c r="P39" s="160"/>
      <c r="Q39" s="161"/>
      <c r="R39" s="161"/>
      <c r="S39" s="162"/>
      <c r="T39" s="162"/>
      <c r="U39" s="162"/>
      <c r="V39" s="112"/>
    </row>
    <row r="40" spans="3:22" ht="15" customHeight="1">
      <c r="C40" s="1408" t="str">
        <f>IF(Indice_index!$Z$1=1,"Outras transferências","Other transfers")</f>
        <v>Other transfers</v>
      </c>
      <c r="D40" s="1406">
        <v>2.2956198899999998</v>
      </c>
      <c r="E40" s="1406">
        <v>1.8537589566160477</v>
      </c>
      <c r="F40" s="1156">
        <f t="shared" si="3"/>
        <v>-19.248000738656788</v>
      </c>
      <c r="G40" s="1407">
        <f>IFERROR((E40-D40)/D43*100,"-")</f>
        <v>-1.4221977295620232E-2</v>
      </c>
      <c r="H40" s="450"/>
      <c r="I40" s="450"/>
      <c r="J40" s="451"/>
      <c r="K40" s="216"/>
      <c r="L40" s="157"/>
      <c r="M40" s="158"/>
      <c r="N40" s="158"/>
      <c r="O40" s="159"/>
      <c r="P40" s="160"/>
      <c r="Q40" s="161"/>
      <c r="R40" s="161"/>
      <c r="S40" s="162"/>
      <c r="T40" s="162"/>
      <c r="U40" s="162"/>
      <c r="V40" s="112"/>
    </row>
    <row r="41" spans="3:22" ht="15" customHeight="1">
      <c r="C41" s="1405" t="str">
        <f>IF(Indice_index!$Z$1=1,"Outras receitas de capital","Other capital revenue")</f>
        <v>Other capital revenue</v>
      </c>
      <c r="D41" s="1406">
        <v>6.0308631144728384</v>
      </c>
      <c r="E41" s="1406">
        <v>9.9798621607746476</v>
      </c>
      <c r="F41" s="1156">
        <f t="shared" si="3"/>
        <v>65.479832178996389</v>
      </c>
      <c r="G41" s="1407">
        <f>IFERROR((E41-D41)/D43*100,"-")</f>
        <v>0.12710463979427708</v>
      </c>
      <c r="H41" s="450"/>
      <c r="I41" s="450"/>
      <c r="J41" s="451"/>
      <c r="K41" s="216"/>
      <c r="L41" s="157"/>
      <c r="M41" s="158"/>
      <c r="N41" s="158"/>
      <c r="O41" s="159"/>
      <c r="P41" s="160"/>
      <c r="Q41" s="161"/>
      <c r="R41" s="161"/>
      <c r="S41" s="162"/>
      <c r="T41" s="162"/>
      <c r="U41" s="162"/>
      <c r="V41" s="112"/>
    </row>
    <row r="42" spans="3:22" ht="4.5" customHeight="1">
      <c r="C42" s="1405"/>
      <c r="D42" s="1406"/>
      <c r="E42" s="1406"/>
      <c r="F42" s="1413"/>
      <c r="G42" s="1414"/>
      <c r="H42" s="450"/>
      <c r="I42" s="450"/>
      <c r="J42" s="451"/>
      <c r="K42" s="216"/>
      <c r="L42" s="157"/>
      <c r="M42" s="158"/>
      <c r="N42" s="158"/>
      <c r="O42" s="159"/>
      <c r="P42" s="160"/>
      <c r="Q42" s="161"/>
      <c r="R42" s="161"/>
      <c r="S42" s="162"/>
      <c r="T42" s="162"/>
      <c r="U42" s="162"/>
      <c r="V42" s="112"/>
    </row>
    <row r="43" spans="3:22" s="251" customFormat="1" ht="15" customHeight="1">
      <c r="C43" s="1412" t="str">
        <f>IF(Indice_index!$Z$1=1,"Receita Efetiva","Effective revenue")</f>
        <v>Effective revenue</v>
      </c>
      <c r="D43" s="1404">
        <v>3106.8881928255259</v>
      </c>
      <c r="E43" s="1404">
        <v>3441.0745632633666</v>
      </c>
      <c r="F43" s="303">
        <f>IFERROR(IF(ABS((E43-D43)/D43)*100&gt;500,"n.r.",((E43-D43)/D43)*100),0)</f>
        <v>10.756305013149458</v>
      </c>
      <c r="G43" s="1415">
        <f>IFERROR((E43-D43)/D43*100,"-")</f>
        <v>10.756305013149458</v>
      </c>
      <c r="H43" s="450"/>
      <c r="I43" s="450"/>
      <c r="J43" s="451"/>
      <c r="K43" s="311"/>
      <c r="L43" s="303"/>
      <c r="M43" s="312"/>
      <c r="N43" s="312"/>
      <c r="O43" s="160"/>
      <c r="P43" s="160"/>
      <c r="Q43" s="313"/>
      <c r="R43" s="313"/>
      <c r="S43" s="314"/>
      <c r="T43" s="314"/>
      <c r="U43" s="314"/>
      <c r="V43" s="315"/>
    </row>
    <row r="44" spans="3:22" ht="4.5" customHeight="1">
      <c r="C44" s="1164"/>
      <c r="D44" s="1406"/>
      <c r="E44" s="1406"/>
      <c r="F44" s="1156"/>
      <c r="G44" s="1414"/>
      <c r="H44" s="450"/>
      <c r="I44" s="450"/>
      <c r="J44" s="451"/>
      <c r="K44" s="216"/>
      <c r="L44" s="157"/>
      <c r="M44" s="158"/>
      <c r="N44" s="158"/>
      <c r="O44" s="159"/>
      <c r="P44" s="160"/>
      <c r="Q44" s="161"/>
      <c r="R44" s="161"/>
      <c r="S44" s="162"/>
      <c r="T44" s="162"/>
      <c r="U44" s="162"/>
      <c r="V44" s="112"/>
    </row>
    <row r="45" spans="3:22" s="251" customFormat="1" ht="15" customHeight="1">
      <c r="C45" s="1416" t="str">
        <f>IF(Indice_index!$Z$1=1,"Despesa Corrente","Current expenditure")</f>
        <v>Current expenditure</v>
      </c>
      <c r="D45" s="1404">
        <v>2345.7258573112799</v>
      </c>
      <c r="E45" s="1404">
        <v>2549.2981686541616</v>
      </c>
      <c r="F45" s="303">
        <f t="shared" ref="F45:F62" si="4">IFERROR(IF(ABS((E45-D45)/D45)*100&gt;500,"n.r.",((E45-D45)/D45)*100),0)</f>
        <v>8.6784357476546941</v>
      </c>
      <c r="G45" s="1415">
        <f>IFERROR((E45-D45)/D64*100,"-")</f>
        <v>6.3431025089517101</v>
      </c>
      <c r="H45" s="450"/>
      <c r="I45" s="450"/>
      <c r="J45" s="451"/>
      <c r="K45" s="311"/>
      <c r="L45" s="303"/>
      <c r="M45" s="312"/>
      <c r="N45" s="312"/>
      <c r="O45" s="160"/>
      <c r="P45" s="160"/>
      <c r="Q45" s="313"/>
      <c r="R45" s="313"/>
      <c r="S45" s="314"/>
      <c r="T45" s="314"/>
      <c r="U45" s="314"/>
      <c r="V45" s="315"/>
    </row>
    <row r="46" spans="3:22" ht="15" customHeight="1">
      <c r="C46" s="1405" t="str">
        <f>IF(Indice_index!$Z$1=1,"Despesas com o pessoal","Employees")</f>
        <v>Employees</v>
      </c>
      <c r="D46" s="1406">
        <v>1045.9504467775141</v>
      </c>
      <c r="E46" s="1406">
        <v>1136.6332073127176</v>
      </c>
      <c r="F46" s="1156">
        <f t="shared" si="4"/>
        <v>8.6698907022401919</v>
      </c>
      <c r="G46" s="1414">
        <f>IFERROR((E46-D46)/D64*100,"-")</f>
        <v>2.8255809548709996</v>
      </c>
      <c r="H46" s="450"/>
      <c r="I46" s="450"/>
      <c r="J46" s="451"/>
      <c r="K46" s="216"/>
      <c r="L46" s="157"/>
      <c r="M46" s="158"/>
      <c r="N46" s="158"/>
      <c r="O46" s="159"/>
      <c r="P46" s="160"/>
      <c r="Q46" s="161"/>
      <c r="R46" s="161"/>
      <c r="S46" s="162"/>
      <c r="T46" s="162"/>
      <c r="U46" s="162"/>
      <c r="V46" s="112"/>
    </row>
    <row r="47" spans="3:22" ht="15" customHeight="1">
      <c r="C47" s="803" t="str">
        <f>IF(Indice_index!$Z$1=1,"Remunerações Certas e Permanentes","Certain and permanent wages")</f>
        <v>Certain and permanent wages</v>
      </c>
      <c r="D47" s="1406">
        <v>776.19050164440546</v>
      </c>
      <c r="E47" s="1406">
        <v>841.21205482775804</v>
      </c>
      <c r="F47" s="1156">
        <f t="shared" si="4"/>
        <v>8.3770096446169564</v>
      </c>
      <c r="G47" s="1414">
        <f>IFERROR((E47-D47)/D64*100,"-")</f>
        <v>2.0260042950466928</v>
      </c>
      <c r="H47" s="450"/>
      <c r="I47" s="450"/>
      <c r="J47" s="451"/>
      <c r="K47" s="216"/>
      <c r="L47" s="157"/>
      <c r="M47" s="158"/>
      <c r="N47" s="158"/>
      <c r="O47" s="159"/>
      <c r="P47" s="160"/>
      <c r="Q47" s="161"/>
      <c r="R47" s="161"/>
      <c r="S47" s="162"/>
      <c r="T47" s="162"/>
      <c r="U47" s="162"/>
      <c r="V47" s="112"/>
    </row>
    <row r="48" spans="3:22" ht="15" customHeight="1">
      <c r="C48" s="803" t="str">
        <f>IF(Indice_index!$Z$1=1,"Abonos Variáveis ou Eventuais","Variable or contingent bonuses")</f>
        <v>Variable or contingent bonuses</v>
      </c>
      <c r="D48" s="1406">
        <v>44.378786483688494</v>
      </c>
      <c r="E48" s="1406">
        <v>56.149872958662144</v>
      </c>
      <c r="F48" s="1156">
        <f t="shared" si="4"/>
        <v>26.524128773327625</v>
      </c>
      <c r="G48" s="1414">
        <f>IFERROR((E48-D48)/D64*100,"-")</f>
        <v>0.36677487060965042</v>
      </c>
      <c r="H48" s="450"/>
      <c r="I48" s="450"/>
      <c r="J48" s="451"/>
      <c r="K48" s="216"/>
      <c r="L48" s="157"/>
      <c r="M48" s="158"/>
      <c r="N48" s="158"/>
      <c r="O48" s="159"/>
      <c r="P48" s="160"/>
      <c r="Q48" s="161"/>
      <c r="R48" s="161"/>
      <c r="S48" s="162"/>
      <c r="T48" s="162"/>
      <c r="U48" s="162"/>
      <c r="V48" s="112"/>
    </row>
    <row r="49" spans="3:22" ht="15" customHeight="1">
      <c r="C49" s="803" t="str">
        <f>IF(Indice_index!$Z$1=1,"Segurança social","Social security")</f>
        <v>Social security</v>
      </c>
      <c r="D49" s="1406">
        <v>225.3811586494202</v>
      </c>
      <c r="E49" s="1406">
        <v>239.27127952629729</v>
      </c>
      <c r="F49" s="1156">
        <f t="shared" si="4"/>
        <v>6.1629467876164119</v>
      </c>
      <c r="G49" s="1414">
        <f>IFERROR((E49-D49)/D64*100,"-")</f>
        <v>0.43280178921465301</v>
      </c>
      <c r="H49" s="450"/>
      <c r="I49" s="450"/>
      <c r="J49" s="451"/>
      <c r="K49" s="216"/>
      <c r="L49" s="157"/>
      <c r="M49" s="158"/>
      <c r="N49" s="158"/>
      <c r="O49" s="159"/>
      <c r="P49" s="160"/>
      <c r="Q49" s="161"/>
      <c r="R49" s="161"/>
      <c r="S49" s="162"/>
      <c r="T49" s="162"/>
      <c r="U49" s="162"/>
      <c r="V49" s="112"/>
    </row>
    <row r="50" spans="3:22" ht="15" customHeight="1">
      <c r="C50" s="1405" t="str">
        <f>IF(Indice_index!$Z$1=1,"Aquisição de bens e serviços","Purchase of goods and services")</f>
        <v>Purchase of goods and services</v>
      </c>
      <c r="D50" s="1406">
        <v>783.73061084289202</v>
      </c>
      <c r="E50" s="1406">
        <v>878.05865742279434</v>
      </c>
      <c r="F50" s="1156">
        <f t="shared" si="4"/>
        <v>12.035774190120472</v>
      </c>
      <c r="G50" s="1414">
        <f>IFERROR((E50-D50)/D64*100,"-")</f>
        <v>2.9391642948814711</v>
      </c>
      <c r="H50" s="450"/>
      <c r="I50" s="450"/>
      <c r="J50" s="451"/>
      <c r="K50" s="216"/>
      <c r="L50" s="157"/>
      <c r="M50" s="158"/>
      <c r="N50" s="158"/>
      <c r="O50" s="159"/>
      <c r="P50" s="160"/>
      <c r="Q50" s="161"/>
      <c r="R50" s="161"/>
      <c r="S50" s="162"/>
      <c r="T50" s="162"/>
      <c r="U50" s="162"/>
      <c r="V50" s="112"/>
    </row>
    <row r="51" spans="3:22" ht="15" customHeight="1">
      <c r="C51" s="1405" t="str">
        <f>IF(Indice_index!$Z$1=1,"Juros e outros encargos","Interests and other charges")</f>
        <v>Interests and other charges</v>
      </c>
      <c r="D51" s="1406">
        <v>11.718891812712677</v>
      </c>
      <c r="E51" s="1406">
        <v>9.5271339969363549</v>
      </c>
      <c r="F51" s="1156">
        <f t="shared" si="4"/>
        <v>-18.702773699119732</v>
      </c>
      <c r="G51" s="1414">
        <f>IFERROR((E51-D51)/D64*100,"-")</f>
        <v>-6.8292904907136021E-2</v>
      </c>
      <c r="H51" s="450"/>
      <c r="I51" s="450"/>
      <c r="J51" s="451"/>
      <c r="K51" s="216"/>
      <c r="L51" s="157"/>
      <c r="M51" s="158"/>
      <c r="N51" s="158"/>
      <c r="O51" s="159"/>
      <c r="P51" s="160"/>
      <c r="Q51" s="161"/>
      <c r="R51" s="161"/>
      <c r="S51" s="162"/>
      <c r="T51" s="162"/>
      <c r="U51" s="162"/>
      <c r="V51" s="112"/>
    </row>
    <row r="52" spans="3:22" ht="15" customHeight="1">
      <c r="C52" s="1405" t="str">
        <f>IF(Indice_index!$Z$1=1,"Transferências correntes","Current transfers")</f>
        <v>Current transfers</v>
      </c>
      <c r="D52" s="1406">
        <v>384.991250957364</v>
      </c>
      <c r="E52" s="1406">
        <v>380.29018031573196</v>
      </c>
      <c r="F52" s="1156">
        <f t="shared" si="4"/>
        <v>-1.2210850584115391</v>
      </c>
      <c r="G52" s="1414">
        <f>IFERROR((E52-D52)/D64*100,"-")</f>
        <v>-0.14648049523527765</v>
      </c>
      <c r="H52" s="450"/>
      <c r="I52" s="450"/>
      <c r="J52" s="451"/>
      <c r="K52" s="216"/>
      <c r="L52" s="157"/>
      <c r="M52" s="158"/>
      <c r="N52" s="158"/>
      <c r="O52" s="159"/>
      <c r="P52" s="160"/>
      <c r="Q52" s="161"/>
      <c r="R52" s="161"/>
      <c r="S52" s="162"/>
      <c r="T52" s="162"/>
      <c r="U52" s="162"/>
      <c r="V52" s="112"/>
    </row>
    <row r="53" spans="3:22" ht="15" customHeight="1">
      <c r="C53" s="1408" t="str">
        <f>IF(Indice_index!$Z$1=1,"Subsectores das AP","General Government subsectors")</f>
        <v>General Government subsectors</v>
      </c>
      <c r="D53" s="1406">
        <v>166.10033069710391</v>
      </c>
      <c r="E53" s="1406">
        <v>175.46356580710392</v>
      </c>
      <c r="F53" s="1156">
        <f t="shared" si="4"/>
        <v>5.6370960073972087</v>
      </c>
      <c r="G53" s="1414">
        <f>IFERROR((E53-D53)/D64*100,"-")</f>
        <v>0.29174871438243133</v>
      </c>
      <c r="H53" s="450"/>
      <c r="I53" s="450"/>
      <c r="J53" s="451"/>
      <c r="K53" s="216"/>
      <c r="L53" s="157"/>
      <c r="M53" s="158"/>
      <c r="N53" s="158"/>
      <c r="O53" s="159"/>
      <c r="P53" s="160"/>
      <c r="Q53" s="161"/>
      <c r="R53" s="161"/>
      <c r="S53" s="162"/>
      <c r="T53" s="162"/>
      <c r="U53" s="162"/>
      <c r="V53" s="112"/>
    </row>
    <row r="54" spans="3:22" ht="15" customHeight="1">
      <c r="C54" s="1408" t="str">
        <f>IF(Indice_index!$Z$1=1,"Outras transferências","Other transfers")</f>
        <v>Other transfers</v>
      </c>
      <c r="D54" s="1406">
        <v>218.89092026026009</v>
      </c>
      <c r="E54" s="1406">
        <v>204.82661450862801</v>
      </c>
      <c r="F54" s="1156">
        <f t="shared" si="4"/>
        <v>-6.425257719648533</v>
      </c>
      <c r="G54" s="1414">
        <f>IFERROR((E54-D54)/D64*100,"-")</f>
        <v>-0.43822920961770989</v>
      </c>
      <c r="H54" s="450"/>
      <c r="I54" s="450"/>
      <c r="J54" s="451"/>
      <c r="K54" s="216"/>
      <c r="L54" s="157"/>
      <c r="M54" s="158"/>
      <c r="N54" s="158"/>
      <c r="O54" s="159"/>
      <c r="P54" s="160"/>
      <c r="Q54" s="161"/>
      <c r="R54" s="161"/>
      <c r="S54" s="162"/>
      <c r="T54" s="162"/>
      <c r="U54" s="162"/>
      <c r="V54" s="112"/>
    </row>
    <row r="55" spans="3:22" ht="15" customHeight="1">
      <c r="C55" s="1405" t="str">
        <f>IF(Indice_index!$Z$1=1,"Subsídios","Subsidies")</f>
        <v>Subsidies</v>
      </c>
      <c r="D55" s="1406">
        <v>81.809481732467432</v>
      </c>
      <c r="E55" s="1406">
        <v>94.470954841344764</v>
      </c>
      <c r="F55" s="1156">
        <f t="shared" si="4"/>
        <v>15.476779513507685</v>
      </c>
      <c r="G55" s="1414">
        <f>IFERROR((E55-D55)/D64*100,"-")</f>
        <v>0.39451839650565873</v>
      </c>
      <c r="H55" s="450"/>
      <c r="I55" s="450"/>
      <c r="J55" s="451"/>
      <c r="K55" s="216"/>
      <c r="L55" s="157"/>
      <c r="M55" s="158"/>
      <c r="N55" s="158"/>
      <c r="O55" s="159"/>
      <c r="P55" s="160"/>
      <c r="Q55" s="161"/>
      <c r="R55" s="161"/>
      <c r="S55" s="162"/>
      <c r="T55" s="162"/>
      <c r="U55" s="162"/>
      <c r="V55" s="112"/>
    </row>
    <row r="56" spans="3:22" ht="15" customHeight="1">
      <c r="C56" s="1405" t="str">
        <f>IF(Indice_index!$Z$1=1,"Outras despesas correntes","Other current expenditure")</f>
        <v>Other current expenditure</v>
      </c>
      <c r="D56" s="1406">
        <v>37.525175188329726</v>
      </c>
      <c r="E56" s="1406">
        <v>50.318034764636586</v>
      </c>
      <c r="F56" s="1156">
        <f t="shared" si="4"/>
        <v>34.091405335491729</v>
      </c>
      <c r="G56" s="1414">
        <f>IFERROR((E56-D56)/D64*100,"-")</f>
        <v>0.39861226283599099</v>
      </c>
      <c r="H56" s="450"/>
      <c r="I56" s="450"/>
      <c r="J56" s="451"/>
      <c r="K56" s="216"/>
      <c r="L56" s="157"/>
      <c r="M56" s="158"/>
      <c r="N56" s="158"/>
      <c r="O56" s="159"/>
      <c r="P56" s="160"/>
      <c r="Q56" s="161"/>
      <c r="R56" s="161"/>
      <c r="S56" s="162"/>
      <c r="T56" s="162"/>
      <c r="U56" s="162"/>
      <c r="V56" s="112"/>
    </row>
    <row r="57" spans="3:22" s="251" customFormat="1" ht="15" customHeight="1">
      <c r="C57" s="1416" t="str">
        <f>IF(Indice_index!$Z$1=1,"Despesa de Capital","Capital expenditure")</f>
        <v>Capital expenditure</v>
      </c>
      <c r="D57" s="1404">
        <v>863.62336975213361</v>
      </c>
      <c r="E57" s="1404">
        <v>826.22806028511354</v>
      </c>
      <c r="F57" s="303">
        <f t="shared" si="4"/>
        <v>-4.3300483494040698</v>
      </c>
      <c r="G57" s="1415">
        <f>IFERROR((E57-D57)/D64*100,"-")</f>
        <v>-1.1651991360640161</v>
      </c>
      <c r="H57" s="450"/>
      <c r="I57" s="450"/>
      <c r="J57" s="451"/>
      <c r="K57" s="311"/>
      <c r="L57" s="303"/>
      <c r="M57" s="312"/>
      <c r="N57" s="312"/>
      <c r="O57" s="160"/>
      <c r="P57" s="160"/>
      <c r="Q57" s="313"/>
      <c r="R57" s="313"/>
      <c r="S57" s="314"/>
      <c r="T57" s="314"/>
      <c r="U57" s="314"/>
      <c r="V57" s="315"/>
    </row>
    <row r="58" spans="3:22" ht="15" customHeight="1">
      <c r="C58" s="1405" t="str">
        <f>IF(Indice_index!$Z$1=1,"Aquisição de bens de capital","Purchase of capital goods")</f>
        <v>Purchase of capital goods</v>
      </c>
      <c r="D58" s="1406">
        <v>749.98165384082097</v>
      </c>
      <c r="E58" s="1406">
        <v>717.24333051938811</v>
      </c>
      <c r="F58" s="1156">
        <f t="shared" si="4"/>
        <v>-4.3652165561347678</v>
      </c>
      <c r="G58" s="1414">
        <f>IFERROR((E58-D58)/D64*100,"-")</f>
        <v>-1.0200922680947613</v>
      </c>
      <c r="H58" s="450"/>
      <c r="I58" s="450"/>
      <c r="J58" s="451"/>
      <c r="K58" s="216"/>
      <c r="L58" s="157"/>
      <c r="M58" s="158"/>
      <c r="N58" s="158"/>
      <c r="O58" s="159"/>
      <c r="P58" s="160"/>
      <c r="Q58" s="161"/>
      <c r="R58" s="161"/>
      <c r="S58" s="162"/>
      <c r="T58" s="162"/>
      <c r="U58" s="162"/>
      <c r="V58" s="112"/>
    </row>
    <row r="59" spans="3:22" ht="15" customHeight="1">
      <c r="C59" s="1405" t="str">
        <f>IF(Indice_index!$Z$1=1,"Transferências de capital","Capital transfers")</f>
        <v>Capital transfers</v>
      </c>
      <c r="D59" s="1406">
        <v>109.59582488216222</v>
      </c>
      <c r="E59" s="1406">
        <v>106.20848450898899</v>
      </c>
      <c r="F59" s="1156">
        <f t="shared" si="4"/>
        <v>-3.090756766341519</v>
      </c>
      <c r="G59" s="1414">
        <f>IFERROR((E59-D59)/D64*100,"-")</f>
        <v>-0.10554601987869926</v>
      </c>
      <c r="H59" s="450"/>
      <c r="I59" s="450"/>
      <c r="J59" s="451"/>
      <c r="K59" s="216"/>
      <c r="L59" s="157"/>
      <c r="M59" s="158"/>
      <c r="N59" s="158"/>
      <c r="O59" s="159"/>
      <c r="P59" s="160"/>
      <c r="Q59" s="161"/>
      <c r="R59" s="161"/>
      <c r="S59" s="162"/>
      <c r="T59" s="162"/>
      <c r="U59" s="162"/>
      <c r="V59" s="112"/>
    </row>
    <row r="60" spans="3:22" ht="15" customHeight="1">
      <c r="C60" s="1408" t="str">
        <f>IF(Indice_index!$Z$1=1,"Subsectores das AP","General Government subsectors")</f>
        <v>General Government subsectors</v>
      </c>
      <c r="D60" s="1406">
        <v>65.405936040000014</v>
      </c>
      <c r="E60" s="1406">
        <v>64.424392910000009</v>
      </c>
      <c r="F60" s="1156">
        <f t="shared" si="4"/>
        <v>-1.5006942632847999</v>
      </c>
      <c r="G60" s="1414">
        <f>IFERROR((E60-D60)/D64*100,"-")</f>
        <v>-3.0583867960612295E-2</v>
      </c>
      <c r="H60" s="450"/>
      <c r="I60" s="450"/>
      <c r="J60" s="451"/>
      <c r="K60" s="216"/>
      <c r="L60" s="157"/>
      <c r="M60" s="158"/>
      <c r="N60" s="158"/>
      <c r="O60" s="159"/>
      <c r="P60" s="160"/>
      <c r="Q60" s="161"/>
      <c r="R60" s="161"/>
      <c r="S60" s="162"/>
      <c r="T60" s="162"/>
      <c r="U60" s="162"/>
      <c r="V60" s="112"/>
    </row>
    <row r="61" spans="3:22" ht="15" customHeight="1">
      <c r="C61" s="1408" t="str">
        <f>IF(Indice_index!$Z$1=1,"Outras transferências","Other transfers")</f>
        <v>Other transfers</v>
      </c>
      <c r="D61" s="1406">
        <v>44.189888842162205</v>
      </c>
      <c r="E61" s="1406">
        <v>41.784091598988979</v>
      </c>
      <c r="F61" s="1156">
        <f t="shared" si="4"/>
        <v>-5.4442256050162765</v>
      </c>
      <c r="G61" s="1414">
        <f>IFERROR((E61-D61)/D64*100,"-")</f>
        <v>-7.4962151918086958E-2</v>
      </c>
      <c r="H61" s="450"/>
      <c r="I61" s="450"/>
      <c r="J61" s="451"/>
      <c r="K61" s="216"/>
      <c r="L61" s="157"/>
      <c r="M61" s="158"/>
      <c r="N61" s="158"/>
      <c r="O61" s="159"/>
      <c r="P61" s="160"/>
      <c r="Q61" s="161"/>
      <c r="R61" s="161"/>
      <c r="S61" s="162"/>
      <c r="T61" s="162"/>
      <c r="U61" s="162"/>
      <c r="V61" s="112"/>
    </row>
    <row r="62" spans="3:22" ht="15" customHeight="1">
      <c r="C62" s="1405" t="str">
        <f>IF(Indice_index!$Z$1=1,"Outras despesas de capital","Other capital expenditure")</f>
        <v>Other capital expenditure</v>
      </c>
      <c r="D62" s="1406">
        <v>4.0458910291503853</v>
      </c>
      <c r="E62" s="1406">
        <v>2.7762452567365004</v>
      </c>
      <c r="F62" s="1156">
        <f t="shared" si="4"/>
        <v>-31.381116378720254</v>
      </c>
      <c r="G62" s="1414">
        <f>IFERROR((E62-D62)/D64*100,"-")</f>
        <v>-3.9560848090552728E-2</v>
      </c>
      <c r="H62" s="450"/>
      <c r="I62" s="450"/>
      <c r="J62" s="451"/>
      <c r="K62" s="216"/>
      <c r="L62" s="157"/>
      <c r="M62" s="158"/>
      <c r="N62" s="158"/>
      <c r="O62" s="159"/>
      <c r="P62" s="160"/>
      <c r="Q62" s="161"/>
      <c r="R62" s="161"/>
      <c r="S62" s="162"/>
      <c r="T62" s="162"/>
      <c r="U62" s="162"/>
      <c r="V62" s="112"/>
    </row>
    <row r="63" spans="3:22" ht="4.5" customHeight="1">
      <c r="C63" s="1405"/>
      <c r="D63" s="1406"/>
      <c r="E63" s="1406"/>
      <c r="F63" s="1156"/>
      <c r="G63" s="1414"/>
      <c r="H63" s="450"/>
      <c r="I63" s="450"/>
      <c r="J63" s="451"/>
      <c r="K63" s="216"/>
      <c r="L63" s="157"/>
      <c r="M63" s="158"/>
      <c r="N63" s="158"/>
      <c r="O63" s="159"/>
      <c r="P63" s="160"/>
      <c r="Q63" s="161"/>
      <c r="R63" s="161"/>
      <c r="S63" s="162"/>
      <c r="T63" s="162"/>
      <c r="U63" s="162"/>
      <c r="V63" s="112"/>
    </row>
    <row r="64" spans="3:22" s="251" customFormat="1" ht="15" customHeight="1">
      <c r="C64" s="1416" t="str">
        <f>IF(Indice_index!$Z$1=1,"Despesa efetiva","Effective expenditure")</f>
        <v>Effective expenditure</v>
      </c>
      <c r="D64" s="1404">
        <v>3209.3492270634133</v>
      </c>
      <c r="E64" s="1404">
        <v>3375.5262289392749</v>
      </c>
      <c r="F64" s="303">
        <f>IFERROR(IF(ABS((E64-D64)/D64)*100&gt;500,"n.r.",((E64-D64)/D64)*100),0)</f>
        <v>5.1779033728876938</v>
      </c>
      <c r="G64" s="1415">
        <f>IFERROR((E64-D64)/D64*100,"-")</f>
        <v>5.1779033728876938</v>
      </c>
      <c r="H64" s="450"/>
      <c r="I64" s="450"/>
      <c r="J64" s="451"/>
      <c r="K64" s="311"/>
      <c r="L64" s="303"/>
      <c r="M64" s="312"/>
      <c r="N64" s="312"/>
      <c r="O64" s="160"/>
      <c r="P64" s="160"/>
      <c r="Q64" s="313"/>
      <c r="R64" s="313"/>
      <c r="S64" s="314"/>
      <c r="T64" s="314"/>
      <c r="U64" s="314"/>
      <c r="V64" s="315"/>
    </row>
    <row r="65" spans="3:22" ht="4.5" customHeight="1">
      <c r="C65" s="1164"/>
      <c r="D65" s="1406"/>
      <c r="E65" s="1406"/>
      <c r="F65" s="1417"/>
      <c r="G65" s="1414"/>
      <c r="H65" s="450"/>
      <c r="I65" s="450"/>
      <c r="J65" s="451"/>
      <c r="K65" s="216"/>
      <c r="L65" s="157"/>
      <c r="M65" s="158"/>
      <c r="N65" s="158"/>
      <c r="O65" s="159"/>
      <c r="P65" s="160"/>
      <c r="Q65" s="161"/>
      <c r="R65" s="161"/>
      <c r="S65" s="162"/>
      <c r="T65" s="162"/>
      <c r="U65" s="162"/>
      <c r="V65" s="112"/>
    </row>
    <row r="66" spans="3:22" s="251" customFormat="1" ht="15" customHeight="1">
      <c r="C66" s="1418" t="str">
        <f>IF(Indice_index!$Z$1=1,"Saldo global","Overall balance")</f>
        <v>Overall balance</v>
      </c>
      <c r="D66" s="1419">
        <v>-102.46103423788736</v>
      </c>
      <c r="E66" s="1419">
        <v>65.548334324091684</v>
      </c>
      <c r="F66" s="1172"/>
      <c r="G66" s="1172"/>
      <c r="H66" s="450"/>
      <c r="I66" s="450"/>
      <c r="J66" s="449"/>
      <c r="K66" s="311"/>
      <c r="L66" s="316"/>
      <c r="M66" s="312"/>
      <c r="N66" s="312"/>
      <c r="O66" s="160"/>
      <c r="P66" s="160"/>
      <c r="Q66" s="313"/>
      <c r="R66" s="313"/>
      <c r="S66" s="314"/>
      <c r="T66" s="314"/>
      <c r="U66" s="314"/>
      <c r="V66" s="315"/>
    </row>
    <row r="67" spans="3:22" ht="4.5" customHeight="1">
      <c r="C67" s="1420"/>
      <c r="D67" s="1421"/>
      <c r="E67" s="1421"/>
      <c r="F67" s="1417"/>
      <c r="G67" s="1422"/>
      <c r="H67" s="450"/>
      <c r="I67" s="450"/>
      <c r="J67" s="451"/>
      <c r="K67" s="216"/>
      <c r="L67" s="157"/>
      <c r="M67" s="158"/>
      <c r="N67" s="158"/>
      <c r="O67" s="159"/>
      <c r="P67" s="160"/>
      <c r="Q67" s="161"/>
      <c r="R67" s="161"/>
      <c r="S67" s="162"/>
      <c r="T67" s="162"/>
      <c r="U67" s="162"/>
      <c r="V67" s="112"/>
    </row>
    <row r="68" spans="3:22" ht="15" customHeight="1">
      <c r="C68" s="1164" t="str">
        <f>IF(Indice_index!$Z$1=1,"Despesa  primária","Primary Expenditure")</f>
        <v>Primary Expenditure</v>
      </c>
      <c r="D68" s="1406">
        <v>3197.6303352507007</v>
      </c>
      <c r="E68" s="1406">
        <v>3365.9990949423386</v>
      </c>
      <c r="F68" s="1417">
        <f>IFERROR(IF(ABS((E68-D68)/D68)*100&gt;500,"n.r.",((E68-D68)/D68)*100),0)</f>
        <v>5.2654228925570123</v>
      </c>
      <c r="G68" s="1156">
        <f>IFERROR((E68-D68)/D64*100,"-")</f>
        <v>5.2461962777948301</v>
      </c>
      <c r="H68" s="450"/>
      <c r="I68" s="450"/>
      <c r="J68" s="451"/>
      <c r="K68" s="216"/>
      <c r="L68" s="157"/>
      <c r="M68" s="158"/>
      <c r="N68" s="158"/>
      <c r="O68" s="159"/>
      <c r="P68" s="160"/>
      <c r="Q68" s="161"/>
      <c r="R68" s="161"/>
      <c r="S68" s="162"/>
      <c r="T68" s="162"/>
      <c r="U68" s="112"/>
      <c r="V68" s="112"/>
    </row>
    <row r="69" spans="3:22" ht="15" customHeight="1">
      <c r="C69" s="1423" t="str">
        <f>IF(Indice_index!$Z$1=1,"Saldo primário","Primary balance")</f>
        <v>Primary balance</v>
      </c>
      <c r="D69" s="1406">
        <v>-90.742142425174677</v>
      </c>
      <c r="E69" s="1406">
        <v>75.07546832102804</v>
      </c>
      <c r="F69" s="1424"/>
      <c r="G69" s="1413"/>
      <c r="H69" s="450"/>
      <c r="I69" s="450"/>
      <c r="J69" s="451"/>
      <c r="K69" s="211"/>
      <c r="L69" s="157"/>
      <c r="M69" s="158"/>
      <c r="N69" s="158"/>
      <c r="O69" s="159"/>
      <c r="P69" s="160"/>
      <c r="Q69" s="161"/>
      <c r="R69" s="161"/>
      <c r="S69" s="162"/>
      <c r="T69" s="162"/>
      <c r="U69" s="162"/>
      <c r="V69" s="112"/>
    </row>
    <row r="70" spans="3:22" ht="15" customHeight="1">
      <c r="C70" s="1423" t="str">
        <f>IF(Indice_index!$Z$1=1,"Saldo corrente","Current balance")</f>
        <v>Current balance</v>
      </c>
      <c r="D70" s="1406">
        <v>275.40503793981088</v>
      </c>
      <c r="E70" s="1406">
        <v>522.8170993718677</v>
      </c>
      <c r="F70" s="1413"/>
      <c r="G70" s="1413"/>
      <c r="H70" s="450"/>
      <c r="I70" s="450"/>
      <c r="J70" s="451"/>
      <c r="K70" s="211"/>
      <c r="L70" s="157"/>
      <c r="M70" s="158"/>
      <c r="N70" s="158"/>
      <c r="O70" s="159"/>
      <c r="P70" s="160"/>
      <c r="Q70" s="161"/>
      <c r="R70" s="161"/>
      <c r="S70" s="162"/>
      <c r="T70" s="162"/>
      <c r="U70" s="162"/>
      <c r="V70" s="112"/>
    </row>
    <row r="71" spans="3:22" ht="15" customHeight="1">
      <c r="C71" s="1423" t="str">
        <f>IF(Indice_index!$Z$1=1,"Saldo de capital","Capital balance")</f>
        <v>Capital balance</v>
      </c>
      <c r="D71" s="1406">
        <v>-377.86607217769858</v>
      </c>
      <c r="E71" s="1406">
        <v>-457.2687650477763</v>
      </c>
      <c r="F71" s="1413"/>
      <c r="G71" s="1413"/>
      <c r="H71" s="450"/>
      <c r="I71" s="450"/>
      <c r="J71" s="451"/>
      <c r="K71" s="211"/>
      <c r="L71" s="157"/>
      <c r="M71" s="158"/>
      <c r="N71" s="158"/>
      <c r="O71" s="159"/>
      <c r="P71" s="160"/>
      <c r="Q71" s="161"/>
      <c r="R71" s="161"/>
      <c r="S71" s="162"/>
      <c r="T71" s="162"/>
      <c r="U71" s="162"/>
      <c r="V71" s="112"/>
    </row>
    <row r="72" spans="3:22" ht="15" customHeight="1">
      <c r="C72" s="1164" t="str">
        <f>IF(Indice_index!$Z$1=1,"Ativos financeiros líquidos de reembolsos","Financial assets net of reimbursements")</f>
        <v>Financial assets net of reimbursements</v>
      </c>
      <c r="D72" s="1406">
        <v>-27.632890117448824</v>
      </c>
      <c r="E72" s="1406">
        <v>-28.087418017448822</v>
      </c>
      <c r="F72" s="1413"/>
      <c r="G72" s="1413"/>
      <c r="H72" s="450"/>
      <c r="I72" s="450"/>
      <c r="J72" s="451"/>
      <c r="K72" s="211"/>
      <c r="L72" s="157"/>
      <c r="M72" s="158"/>
      <c r="N72" s="158"/>
      <c r="O72" s="159"/>
      <c r="P72" s="160"/>
      <c r="Q72" s="161"/>
      <c r="R72" s="161"/>
      <c r="S72" s="162"/>
      <c r="T72" s="162"/>
      <c r="U72" s="162"/>
      <c r="V72" s="112"/>
    </row>
    <row r="73" spans="3:22" ht="15" customHeight="1">
      <c r="C73" s="1425" t="str">
        <f>IF(Indice_index!$Z$1=1,"dos quais Receitas de:","of which Revenues of")</f>
        <v>of which Revenues of</v>
      </c>
      <c r="D73" s="1406"/>
      <c r="E73" s="1406"/>
      <c r="F73" s="1413"/>
      <c r="G73" s="1413"/>
      <c r="H73" s="450"/>
      <c r="I73" s="450"/>
      <c r="J73" s="451"/>
      <c r="K73" s="211"/>
      <c r="L73" s="157"/>
      <c r="M73" s="158"/>
      <c r="N73" s="158"/>
      <c r="O73" s="159"/>
      <c r="P73" s="160"/>
      <c r="Q73" s="161"/>
      <c r="R73" s="161"/>
      <c r="S73" s="162"/>
      <c r="T73" s="162"/>
      <c r="U73" s="162"/>
      <c r="V73" s="112"/>
    </row>
    <row r="74" spans="3:22" ht="15" customHeight="1">
      <c r="C74" s="1426" t="str">
        <f>IF(Indice_index!$Z$1=1,"Alienação de partes de Capital","Divestment of company shares")</f>
        <v>Divestment of company shares</v>
      </c>
      <c r="D74" s="1406">
        <v>8.2050039999999991E-2</v>
      </c>
      <c r="E74" s="1406">
        <v>8.8675129999999991E-2</v>
      </c>
      <c r="F74" s="1413"/>
      <c r="G74" s="1413"/>
      <c r="H74" s="450"/>
      <c r="I74" s="450"/>
      <c r="J74" s="451"/>
      <c r="K74" s="211"/>
      <c r="L74" s="157"/>
      <c r="M74" s="158"/>
      <c r="N74" s="158"/>
      <c r="O74" s="159"/>
      <c r="P74" s="160"/>
      <c r="Q74" s="161"/>
      <c r="R74" s="161"/>
      <c r="S74" s="162"/>
      <c r="T74" s="162"/>
      <c r="U74" s="162"/>
      <c r="V74" s="112"/>
    </row>
    <row r="75" spans="3:22" ht="15" customHeight="1">
      <c r="C75" s="1427" t="str">
        <f>IF(Indice_index!$Z$1=1,"Outros Ativos","Other Financial assets")</f>
        <v>Other Financial assets</v>
      </c>
      <c r="D75" s="1406">
        <v>1.05797425</v>
      </c>
      <c r="E75" s="1406">
        <v>6.0925239999999999E-2</v>
      </c>
      <c r="F75" s="1413"/>
      <c r="G75" s="1413"/>
      <c r="H75" s="450"/>
      <c r="I75" s="450"/>
      <c r="J75" s="451"/>
      <c r="K75" s="211"/>
      <c r="L75" s="157"/>
      <c r="M75" s="158"/>
      <c r="N75" s="158"/>
      <c r="O75" s="159"/>
      <c r="P75" s="160"/>
      <c r="Q75" s="161"/>
      <c r="R75" s="161"/>
      <c r="S75" s="162"/>
      <c r="T75" s="162"/>
      <c r="U75" s="162"/>
      <c r="V75" s="112"/>
    </row>
    <row r="76" spans="3:22" ht="15" customHeight="1">
      <c r="C76" s="1164" t="str">
        <f>IF(Indice_index!$Z$1=1,"Passivos financeiros líquidos de amortizações","Financial liabilities net of amortizations")</f>
        <v>Financial liabilities net of amortizations</v>
      </c>
      <c r="D76" s="1406">
        <v>0.94185315787496338</v>
      </c>
      <c r="E76" s="1406">
        <v>2.919791177874913</v>
      </c>
      <c r="F76" s="1413"/>
      <c r="G76" s="1413"/>
      <c r="H76" s="450"/>
      <c r="I76" s="450"/>
      <c r="J76" s="451"/>
      <c r="K76" s="211"/>
      <c r="L76" s="157"/>
      <c r="M76" s="158"/>
      <c r="N76" s="158"/>
      <c r="O76" s="159"/>
      <c r="P76" s="160"/>
      <c r="Q76" s="161"/>
      <c r="R76" s="161"/>
      <c r="S76" s="162"/>
      <c r="T76" s="162"/>
      <c r="U76" s="162"/>
      <c r="V76" s="112"/>
    </row>
    <row r="77" spans="3:22" ht="15" customHeight="1">
      <c r="C77" s="1164" t="str">
        <f>IF(Indice_index!$Z$1=1,"Poupança (+) / Utilização (-) de saldo da gerência anterior","Saving (+) / Usage (-) of balance from previous management")</f>
        <v>Saving (+) / Usage (-) of balance from previous management</v>
      </c>
      <c r="D77" s="1406">
        <v>-73.886290962563578</v>
      </c>
      <c r="E77" s="1406">
        <v>96.555543519415423</v>
      </c>
      <c r="F77" s="1413"/>
      <c r="G77" s="1413"/>
      <c r="H77" s="450"/>
      <c r="I77" s="450"/>
      <c r="J77" s="451"/>
      <c r="K77" s="211"/>
      <c r="L77" s="157"/>
      <c r="M77" s="158"/>
      <c r="N77" s="158"/>
      <c r="O77" s="159"/>
      <c r="P77" s="160"/>
      <c r="Q77" s="161"/>
      <c r="R77" s="161"/>
      <c r="S77" s="162"/>
      <c r="T77" s="162"/>
      <c r="U77" s="162"/>
      <c r="V77" s="112"/>
    </row>
    <row r="78" spans="3:22" ht="15" customHeight="1">
      <c r="C78" s="1428" t="str">
        <f>IF(Indice_index!$Z$1=1,"Taxa de comparticip. financiam. comunitário","Community financing rate")</f>
        <v>Community financing rate</v>
      </c>
      <c r="D78" s="1429">
        <v>0.34921453633981231</v>
      </c>
      <c r="E78" s="1429">
        <v>0.22439604373308877</v>
      </c>
      <c r="F78" s="1430"/>
      <c r="G78" s="1430"/>
      <c r="H78" s="450"/>
      <c r="I78" s="450"/>
      <c r="J78" s="451"/>
      <c r="K78" s="211"/>
      <c r="L78" s="157"/>
      <c r="M78" s="158"/>
      <c r="N78" s="158"/>
      <c r="O78" s="159"/>
      <c r="P78" s="160"/>
      <c r="Q78" s="161"/>
      <c r="R78" s="161"/>
      <c r="S78" s="162"/>
      <c r="T78" s="162"/>
      <c r="U78" s="162"/>
      <c r="V78" s="112"/>
    </row>
    <row r="79" spans="3:22" ht="4.5" customHeight="1">
      <c r="C79" s="1164"/>
      <c r="D79" s="1431"/>
      <c r="E79" s="1431"/>
      <c r="F79" s="1432"/>
      <c r="G79" s="1432"/>
      <c r="H79" s="450"/>
      <c r="I79" s="450"/>
      <c r="J79" s="451"/>
      <c r="K79" s="211"/>
      <c r="L79" s="157"/>
      <c r="M79" s="158"/>
      <c r="N79" s="158"/>
      <c r="O79" s="159"/>
      <c r="P79" s="160"/>
      <c r="Q79" s="161"/>
      <c r="R79" s="161"/>
      <c r="S79" s="162"/>
      <c r="T79" s="162"/>
      <c r="U79" s="162"/>
      <c r="V79" s="112"/>
    </row>
    <row r="80" spans="3:22" ht="15" customHeight="1">
      <c r="C80" s="1433" t="str">
        <f>IF(Indice_index!$Z$1=1,"Notas:","Notes:")</f>
        <v>Notes:</v>
      </c>
      <c r="D80" s="1434"/>
      <c r="E80" s="1434"/>
      <c r="F80" s="1435"/>
      <c r="G80" s="1435"/>
      <c r="H80" s="247"/>
      <c r="I80"/>
      <c r="J80"/>
      <c r="K80" s="211"/>
      <c r="L80" s="157"/>
    </row>
    <row r="81" spans="3:17" ht="24" customHeight="1">
      <c r="C81" s="1730" t="str">
        <f>IF(Indice_index!$Z$1=1,"Os valores de execução orçamental da Administração Local constantes do presente quadro não incluem a execução orçamental das freguesias.","Local Government monthly data does not include parishes financial data.")</f>
        <v>Local Government monthly data does not include parishes financial data.</v>
      </c>
      <c r="D81" s="1723"/>
      <c r="E81" s="1723"/>
      <c r="F81" s="1723"/>
      <c r="G81" s="1723"/>
      <c r="H81" s="247"/>
      <c r="I81"/>
      <c r="J81"/>
      <c r="K81" s="157"/>
      <c r="L81" s="157"/>
    </row>
    <row r="82" spans="3:17" ht="21.75" customHeight="1">
      <c r="C82" s="1730"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Revenues derived from the Local Government Financing Law do not include transfers from the Parishes Financing Fund.</v>
      </c>
      <c r="D82" s="1730"/>
      <c r="E82" s="1730"/>
      <c r="F82" s="1730"/>
      <c r="G82" s="1730"/>
      <c r="H82" s="247"/>
      <c r="I82"/>
      <c r="J82"/>
      <c r="K82" s="157"/>
      <c r="L82" s="157"/>
    </row>
    <row r="83" spans="3:17" ht="15" customHeight="1">
      <c r="C83" s="1436">
        <v>2021</v>
      </c>
      <c r="D83" s="1437"/>
      <c r="E83" s="1437"/>
      <c r="F83" s="1437"/>
      <c r="G83" s="1437"/>
      <c r="H83" s="247"/>
      <c r="I83" s="247"/>
      <c r="J83"/>
      <c r="K83" s="157"/>
      <c r="L83" s="157"/>
    </row>
    <row r="84" spans="3:17" ht="18" customHeight="1">
      <c r="C84" s="1716" t="str">
        <f>IF(Indice_index!$Z$1=1,"Dados reportados de 2021: 291 municipios; Em falta: 17.","Entities in default (17 municipalities) in the reporting of budget execution, in the month under review:")</f>
        <v>Entities in default (17 municipalities) in the reporting of budget execution, in the month under review:</v>
      </c>
      <c r="D84" s="1716"/>
      <c r="E84" s="1716"/>
      <c r="F84" s="1716"/>
      <c r="G84" s="1716"/>
      <c r="H84" s="247"/>
      <c r="I84" s="247"/>
      <c r="J84"/>
      <c r="K84" s="157"/>
      <c r="L84" s="157"/>
    </row>
    <row r="85" spans="3:17" ht="4.5" customHeight="1">
      <c r="C85" s="1713"/>
      <c r="D85" s="1713"/>
      <c r="E85" s="1713"/>
      <c r="F85" s="1713"/>
      <c r="G85" s="1713"/>
      <c r="H85" s="247"/>
      <c r="I85" s="247"/>
      <c r="J85"/>
      <c r="K85" s="157"/>
      <c r="L85" s="157"/>
    </row>
    <row r="86" spans="3:17" ht="15" customHeight="1">
      <c r="C86" s="1714">
        <v>2022</v>
      </c>
      <c r="D86" s="1714"/>
      <c r="E86" s="1714"/>
      <c r="F86" s="1438"/>
      <c r="G86" s="1438"/>
      <c r="H86" s="247"/>
      <c r="I86" s="247"/>
      <c r="J86"/>
    </row>
    <row r="87" spans="3:17" ht="15" customHeight="1">
      <c r="C87" s="1716" t="str">
        <f>IF(Indice_index!$Z$1=1,"Dados reportados de 2022: 234 municipios; Em falta: 74.","Entities in default (74 municipalities) in the reporting of budget execution, in the month under review:")</f>
        <v>Entities in default (74 municipalities) in the reporting of budget execution, in the month under review:</v>
      </c>
      <c r="D87" s="1716"/>
      <c r="E87" s="1716"/>
      <c r="F87" s="1716"/>
      <c r="G87" s="1716"/>
      <c r="H87" s="247"/>
      <c r="I87" s="247"/>
    </row>
    <row r="88" spans="3:17" ht="4.5" customHeight="1">
      <c r="C88" s="1438"/>
      <c r="D88" s="1438"/>
      <c r="E88" s="1438"/>
      <c r="F88" s="1438"/>
      <c r="G88" s="1438"/>
      <c r="H88" s="247"/>
      <c r="I88" s="247"/>
    </row>
    <row r="89" spans="3:17" ht="26.25" customHeight="1">
      <c r="C89" s="1722"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The reduced universe of reports results from constraints resulting from the implementation of the SNC-AP in the Local Government in 2020. For municipalities without reporting, corrected homologous execution was used.</v>
      </c>
      <c r="D89" s="1723"/>
      <c r="E89" s="1723"/>
      <c r="F89" s="1723"/>
      <c r="G89" s="1723"/>
      <c r="H89" s="247"/>
      <c r="I89" s="1715"/>
      <c r="J89" s="1716"/>
      <c r="K89" s="1716"/>
      <c r="L89" s="1716"/>
      <c r="M89" s="1716"/>
    </row>
    <row r="90" spans="3:17" ht="4.5" customHeight="1">
      <c r="C90" s="1439"/>
      <c r="D90" s="1440"/>
      <c r="E90" s="1440"/>
      <c r="F90" s="1440"/>
      <c r="G90" s="1440"/>
      <c r="H90" s="247"/>
      <c r="I90" s="477"/>
      <c r="J90" s="478"/>
      <c r="K90" s="478"/>
      <c r="L90" s="478"/>
      <c r="M90" s="478"/>
    </row>
    <row r="91" spans="3:17" ht="24" customHeight="1">
      <c r="C91" s="1724"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Source: BIORC - DGO based on the data of budget execution of municipalities reported in DGAL / SIIAL/SISAL and provisional alternative report</v>
      </c>
      <c r="D91" s="1724"/>
      <c r="E91" s="1724"/>
      <c r="F91" s="1724"/>
      <c r="G91" s="1724"/>
      <c r="H91" s="1724"/>
      <c r="I91" s="247"/>
    </row>
    <row r="92" spans="3:17">
      <c r="D92" s="675"/>
      <c r="E92" s="675"/>
      <c r="F92" s="675"/>
      <c r="G92" s="675"/>
      <c r="H92" s="165"/>
    </row>
    <row r="93" spans="3:17" ht="26.25" customHeight="1">
      <c r="C93" s="1717"/>
      <c r="D93" s="1718"/>
      <c r="E93" s="1718"/>
      <c r="F93" s="1718"/>
      <c r="G93" s="1718"/>
      <c r="H93" s="165"/>
    </row>
    <row r="94" spans="3:17" ht="6.75" customHeight="1">
      <c r="C94" s="599"/>
      <c r="D94" s="600"/>
      <c r="E94" s="600"/>
      <c r="F94" s="600"/>
      <c r="G94" s="600"/>
      <c r="H94" s="165"/>
    </row>
    <row r="95" spans="3:17" ht="13.5" customHeight="1">
      <c r="D95" s="213"/>
      <c r="E95" s="213"/>
      <c r="F95" s="213"/>
      <c r="G95" s="213"/>
      <c r="H95" s="164"/>
    </row>
    <row r="96" spans="3:17" ht="12.75" customHeight="1">
      <c r="C96" s="214"/>
      <c r="D96" s="214"/>
      <c r="E96" s="214"/>
      <c r="F96" s="214"/>
      <c r="G96" s="214"/>
      <c r="H96" s="164"/>
      <c r="I96" s="166"/>
      <c r="J96" s="166"/>
      <c r="K96" s="166"/>
      <c r="L96" s="166"/>
      <c r="M96" s="166"/>
      <c r="N96" s="166"/>
      <c r="O96" s="164"/>
      <c r="P96" s="164"/>
      <c r="Q96" s="164"/>
    </row>
    <row r="97" spans="3:8" ht="27" customHeight="1">
      <c r="C97" s="1719"/>
      <c r="D97" s="1719"/>
      <c r="E97" s="1719"/>
      <c r="F97" s="1719"/>
      <c r="G97" s="1719"/>
      <c r="H97" s="166"/>
    </row>
    <row r="99" spans="3:8" ht="12.75" customHeight="1">
      <c r="C99" s="215"/>
      <c r="D99" s="248"/>
      <c r="E99" s="248"/>
      <c r="F99" s="248"/>
      <c r="G99" s="248"/>
      <c r="H99" s="248"/>
    </row>
    <row r="100" spans="3:8" ht="12.75" customHeight="1">
      <c r="C100" s="1720"/>
      <c r="D100" s="1721"/>
      <c r="E100" s="1721"/>
      <c r="F100" s="1721"/>
      <c r="G100" s="1721"/>
      <c r="H100" s="1721"/>
    </row>
    <row r="101" spans="3:8" ht="12.75" customHeight="1"/>
    <row r="102" spans="3:8">
      <c r="C102" s="1712"/>
      <c r="D102" s="1712"/>
      <c r="E102" s="1712"/>
      <c r="F102" s="1712"/>
      <c r="G102" s="1712"/>
    </row>
    <row r="103" spans="3:8">
      <c r="C103" s="167"/>
      <c r="D103" s="167"/>
      <c r="E103" s="167"/>
      <c r="F103" s="167"/>
      <c r="G103" s="167"/>
    </row>
    <row r="104" spans="3:8">
      <c r="C104" s="167"/>
      <c r="D104" s="167"/>
      <c r="E104" s="167"/>
      <c r="F104" s="167"/>
      <c r="G104" s="167"/>
    </row>
    <row r="105" spans="3:8">
      <c r="C105" s="167"/>
      <c r="D105" s="167"/>
      <c r="E105" s="167"/>
      <c r="F105" s="167"/>
      <c r="G105" s="167"/>
    </row>
    <row r="106" spans="3:8">
      <c r="C106" s="167"/>
      <c r="D106" s="167"/>
      <c r="E106" s="167"/>
      <c r="F106" s="167"/>
      <c r="G106" s="167"/>
    </row>
    <row r="107" spans="3:8">
      <c r="C107" s="167"/>
      <c r="D107" s="167"/>
      <c r="E107" s="167"/>
      <c r="F107" s="167"/>
      <c r="G107" s="167"/>
    </row>
    <row r="108" spans="3:8">
      <c r="C108" s="167"/>
      <c r="D108" s="167"/>
      <c r="E108" s="167"/>
      <c r="F108" s="167"/>
      <c r="G108" s="167"/>
    </row>
    <row r="109" spans="3:8">
      <c r="C109" s="167"/>
      <c r="D109" s="167"/>
      <c r="E109" s="167"/>
      <c r="F109" s="167"/>
      <c r="G109" s="167"/>
    </row>
    <row r="110" spans="3:8">
      <c r="C110" s="167"/>
      <c r="D110" s="167"/>
      <c r="E110" s="167"/>
      <c r="F110" s="167"/>
      <c r="G110" s="167"/>
    </row>
    <row r="111" spans="3:8">
      <c r="C111" s="167"/>
      <c r="D111" s="167"/>
      <c r="E111" s="167"/>
      <c r="F111" s="167"/>
      <c r="G111" s="167"/>
    </row>
    <row r="112" spans="3:8">
      <c r="C112" s="167"/>
      <c r="D112" s="167"/>
      <c r="E112" s="167"/>
      <c r="F112" s="167"/>
      <c r="G112" s="167"/>
    </row>
    <row r="113" spans="3:7">
      <c r="C113" s="167"/>
      <c r="D113" s="167"/>
      <c r="E113" s="167"/>
      <c r="F113" s="167"/>
      <c r="G113" s="167"/>
    </row>
    <row r="114" spans="3:7">
      <c r="C114" s="167"/>
      <c r="D114" s="167"/>
      <c r="E114" s="167"/>
      <c r="F114" s="167"/>
      <c r="G114" s="167"/>
    </row>
    <row r="115" spans="3:7">
      <c r="C115" s="167"/>
      <c r="D115" s="167"/>
      <c r="E115" s="167"/>
      <c r="F115" s="167"/>
      <c r="G115" s="167"/>
    </row>
    <row r="116" spans="3:7">
      <c r="C116" s="167"/>
      <c r="D116" s="167"/>
      <c r="E116" s="167"/>
      <c r="F116" s="167"/>
      <c r="G116" s="167"/>
    </row>
    <row r="117" spans="3:7">
      <c r="C117" s="167"/>
      <c r="D117" s="167"/>
      <c r="E117" s="167"/>
      <c r="F117" s="167"/>
      <c r="G117" s="167"/>
    </row>
    <row r="118" spans="3:7">
      <c r="C118" s="167"/>
      <c r="D118" s="167"/>
      <c r="E118" s="167"/>
      <c r="F118" s="167"/>
      <c r="G118" s="167"/>
    </row>
    <row r="119" spans="3:7">
      <c r="C119" s="167"/>
      <c r="D119" s="167"/>
      <c r="E119" s="167"/>
      <c r="F119" s="167"/>
      <c r="G119" s="167"/>
    </row>
    <row r="120" spans="3:7">
      <c r="C120" s="167"/>
      <c r="D120" s="167"/>
      <c r="E120" s="167"/>
      <c r="F120" s="167"/>
      <c r="G120" s="167"/>
    </row>
    <row r="121" spans="3:7">
      <c r="C121" s="167"/>
      <c r="D121" s="167"/>
      <c r="E121" s="167"/>
      <c r="F121" s="167"/>
      <c r="G121" s="167"/>
    </row>
    <row r="122" spans="3:7">
      <c r="C122" s="167"/>
      <c r="D122" s="167"/>
      <c r="E122" s="167"/>
      <c r="F122" s="167"/>
      <c r="G122" s="167"/>
    </row>
    <row r="123" spans="3:7">
      <c r="C123" s="167"/>
      <c r="D123" s="167"/>
      <c r="E123" s="167"/>
      <c r="F123" s="167"/>
      <c r="G123" s="167"/>
    </row>
    <row r="124" spans="3:7">
      <c r="C124" s="167"/>
      <c r="D124" s="167"/>
      <c r="E124" s="167"/>
      <c r="F124" s="167"/>
      <c r="G124" s="167"/>
    </row>
    <row r="125" spans="3:7">
      <c r="C125" s="167"/>
      <c r="D125" s="167"/>
      <c r="E125" s="167"/>
      <c r="F125" s="167"/>
      <c r="G125" s="167"/>
    </row>
    <row r="126" spans="3:7">
      <c r="C126" s="167"/>
      <c r="D126" s="167"/>
      <c r="E126" s="167"/>
      <c r="F126" s="167"/>
      <c r="G126" s="167"/>
    </row>
    <row r="127" spans="3:7">
      <c r="C127" s="167"/>
      <c r="D127" s="167"/>
      <c r="E127" s="167"/>
      <c r="F127" s="167"/>
      <c r="G127" s="167"/>
    </row>
    <row r="128" spans="3:7">
      <c r="C128" s="167"/>
      <c r="D128" s="167"/>
      <c r="E128" s="167"/>
      <c r="F128" s="167"/>
      <c r="G128" s="167"/>
    </row>
    <row r="129" spans="3:7">
      <c r="C129" s="167"/>
      <c r="D129" s="167"/>
      <c r="E129" s="167"/>
      <c r="F129" s="167"/>
      <c r="G129" s="167"/>
    </row>
    <row r="130" spans="3:7">
      <c r="C130" s="167"/>
      <c r="D130" s="167"/>
      <c r="E130" s="167"/>
      <c r="F130" s="167"/>
      <c r="G130" s="167"/>
    </row>
    <row r="131" spans="3:7">
      <c r="C131" s="167"/>
      <c r="D131" s="167"/>
      <c r="E131" s="167"/>
      <c r="F131" s="167"/>
      <c r="G131" s="167"/>
    </row>
    <row r="132" spans="3:7">
      <c r="C132" s="167"/>
      <c r="D132" s="167"/>
      <c r="E132" s="167"/>
      <c r="F132" s="167"/>
      <c r="G132" s="167"/>
    </row>
    <row r="133" spans="3:7">
      <c r="C133" s="167"/>
      <c r="D133" s="167"/>
      <c r="E133" s="167"/>
      <c r="F133" s="167"/>
      <c r="G133" s="167"/>
    </row>
    <row r="134" spans="3:7">
      <c r="C134" s="167"/>
      <c r="D134" s="167"/>
      <c r="E134" s="167"/>
      <c r="F134" s="167"/>
      <c r="G134" s="167"/>
    </row>
    <row r="135" spans="3:7">
      <c r="C135" s="167"/>
      <c r="D135" s="167"/>
      <c r="E135" s="167"/>
      <c r="F135" s="167"/>
      <c r="G135" s="167"/>
    </row>
    <row r="136" spans="3:7">
      <c r="C136" s="167"/>
      <c r="D136" s="167"/>
      <c r="E136" s="167"/>
      <c r="F136" s="167"/>
      <c r="G136" s="167"/>
    </row>
    <row r="137" spans="3:7">
      <c r="C137" s="167"/>
      <c r="D137" s="167"/>
      <c r="E137" s="167"/>
      <c r="F137" s="167"/>
      <c r="G137" s="167"/>
    </row>
    <row r="138" spans="3:7">
      <c r="C138" s="167"/>
      <c r="D138" s="167"/>
      <c r="E138" s="167"/>
      <c r="F138" s="167"/>
      <c r="G138" s="167"/>
    </row>
    <row r="139" spans="3:7">
      <c r="C139" s="167"/>
      <c r="D139" s="167"/>
      <c r="E139" s="167"/>
      <c r="F139" s="167"/>
      <c r="G139" s="167"/>
    </row>
    <row r="140" spans="3:7">
      <c r="C140" s="167"/>
      <c r="D140" s="167"/>
      <c r="E140" s="167"/>
      <c r="F140" s="167"/>
      <c r="G140" s="167"/>
    </row>
    <row r="141" spans="3:7">
      <c r="C141" s="167"/>
      <c r="D141" s="167"/>
      <c r="E141" s="167"/>
      <c r="F141" s="167"/>
      <c r="G141" s="167"/>
    </row>
    <row r="142" spans="3:7">
      <c r="C142" s="167"/>
      <c r="D142" s="167"/>
      <c r="E142" s="167"/>
      <c r="F142" s="167"/>
      <c r="G142" s="167"/>
    </row>
    <row r="143" spans="3:7">
      <c r="C143" s="167"/>
      <c r="D143" s="167"/>
      <c r="E143" s="167"/>
      <c r="F143" s="167"/>
      <c r="G143" s="167"/>
    </row>
    <row r="144" spans="3:7">
      <c r="C144" s="167"/>
      <c r="D144" s="167"/>
      <c r="E144" s="167"/>
      <c r="F144" s="167"/>
      <c r="G144" s="167"/>
    </row>
    <row r="145" spans="3:7">
      <c r="C145" s="167"/>
      <c r="D145" s="167"/>
      <c r="E145" s="167"/>
      <c r="F145" s="167"/>
      <c r="G145" s="167"/>
    </row>
    <row r="146" spans="3:7">
      <c r="C146" s="167"/>
      <c r="D146" s="167"/>
      <c r="E146" s="167"/>
      <c r="F146" s="167"/>
      <c r="G146" s="167"/>
    </row>
    <row r="147" spans="3:7">
      <c r="C147" s="167"/>
      <c r="D147" s="167"/>
      <c r="E147" s="167"/>
      <c r="F147" s="167"/>
      <c r="G147" s="167"/>
    </row>
    <row r="148" spans="3:7">
      <c r="C148" s="167"/>
      <c r="D148" s="167"/>
      <c r="E148" s="167"/>
      <c r="F148" s="167"/>
      <c r="G148" s="167"/>
    </row>
    <row r="149" spans="3:7">
      <c r="C149" s="167"/>
      <c r="D149" s="167"/>
      <c r="E149" s="167"/>
      <c r="F149" s="167"/>
      <c r="G149" s="167"/>
    </row>
    <row r="150" spans="3:7">
      <c r="C150" s="167"/>
      <c r="D150" s="167"/>
      <c r="E150" s="167"/>
      <c r="F150" s="167"/>
      <c r="G150" s="167"/>
    </row>
    <row r="151" spans="3:7">
      <c r="C151" s="167"/>
      <c r="D151" s="167"/>
      <c r="E151" s="167"/>
      <c r="F151" s="167"/>
      <c r="G151" s="167"/>
    </row>
    <row r="152" spans="3:7">
      <c r="C152" s="167"/>
      <c r="D152" s="167"/>
      <c r="E152" s="167"/>
      <c r="F152" s="167"/>
      <c r="G152" s="167"/>
    </row>
    <row r="153" spans="3:7">
      <c r="C153" s="167"/>
      <c r="D153" s="167"/>
      <c r="E153" s="167"/>
      <c r="F153" s="167"/>
      <c r="G153" s="167"/>
    </row>
    <row r="154" spans="3:7">
      <c r="C154" s="167"/>
      <c r="D154" s="167"/>
      <c r="E154" s="167"/>
      <c r="F154" s="167"/>
      <c r="G154" s="167"/>
    </row>
    <row r="155" spans="3:7">
      <c r="C155" s="167"/>
      <c r="D155" s="167"/>
      <c r="E155" s="167"/>
      <c r="F155" s="167"/>
      <c r="G155" s="167"/>
    </row>
    <row r="156" spans="3:7">
      <c r="C156" s="167"/>
      <c r="D156" s="167"/>
      <c r="E156" s="167"/>
      <c r="F156" s="167"/>
      <c r="G156" s="167"/>
    </row>
    <row r="157" spans="3:7">
      <c r="C157" s="167"/>
      <c r="D157" s="167"/>
      <c r="E157" s="167"/>
      <c r="F157" s="167"/>
      <c r="G157" s="167"/>
    </row>
    <row r="158" spans="3:7">
      <c r="C158" s="167"/>
      <c r="D158" s="167"/>
      <c r="E158" s="167"/>
      <c r="F158" s="167"/>
      <c r="G158" s="167"/>
    </row>
    <row r="159" spans="3:7">
      <c r="C159" s="167"/>
      <c r="D159" s="167"/>
      <c r="E159" s="167"/>
      <c r="F159" s="167"/>
      <c r="G159" s="167"/>
    </row>
    <row r="160" spans="3:7">
      <c r="C160" s="167"/>
      <c r="D160" s="167"/>
      <c r="E160" s="167"/>
      <c r="F160" s="167"/>
      <c r="G160" s="167"/>
    </row>
    <row r="161" spans="3:7">
      <c r="C161" s="167"/>
      <c r="D161" s="167"/>
      <c r="E161" s="167"/>
      <c r="F161" s="167"/>
      <c r="G161" s="167"/>
    </row>
    <row r="162" spans="3:7">
      <c r="C162" s="167"/>
      <c r="D162" s="167"/>
      <c r="E162" s="167"/>
      <c r="F162" s="167"/>
      <c r="G162" s="167"/>
    </row>
    <row r="163" spans="3:7">
      <c r="C163" s="167"/>
      <c r="D163" s="167"/>
      <c r="E163" s="167"/>
      <c r="F163" s="167"/>
      <c r="G163" s="167"/>
    </row>
    <row r="164" spans="3:7">
      <c r="C164" s="167"/>
      <c r="D164" s="167"/>
      <c r="E164" s="167"/>
      <c r="F164" s="167"/>
      <c r="G164" s="167"/>
    </row>
    <row r="165" spans="3:7">
      <c r="C165" s="167"/>
      <c r="D165" s="167"/>
      <c r="E165" s="167"/>
      <c r="F165" s="167"/>
      <c r="G165" s="167"/>
    </row>
    <row r="166" spans="3:7">
      <c r="C166" s="167"/>
      <c r="D166" s="167"/>
      <c r="E166" s="167"/>
      <c r="F166" s="167"/>
      <c r="G166" s="167"/>
    </row>
    <row r="167" spans="3:7">
      <c r="C167" s="167"/>
      <c r="D167" s="167"/>
      <c r="E167" s="167"/>
      <c r="F167" s="167"/>
      <c r="G167" s="167"/>
    </row>
    <row r="168" spans="3:7">
      <c r="C168" s="167"/>
      <c r="D168" s="167"/>
      <c r="E168" s="167"/>
      <c r="F168" s="167"/>
      <c r="G168" s="167"/>
    </row>
    <row r="169" spans="3:7">
      <c r="C169" s="167"/>
      <c r="D169" s="167"/>
      <c r="E169" s="167"/>
      <c r="F169" s="167"/>
      <c r="G169" s="167"/>
    </row>
    <row r="170" spans="3:7">
      <c r="C170" s="167"/>
      <c r="D170" s="167"/>
      <c r="E170" s="167"/>
      <c r="F170" s="167"/>
      <c r="G170" s="167"/>
    </row>
    <row r="171" spans="3:7">
      <c r="C171" s="167"/>
      <c r="D171" s="167"/>
      <c r="E171" s="167"/>
      <c r="F171" s="167"/>
      <c r="G171" s="167"/>
    </row>
    <row r="172" spans="3:7">
      <c r="C172" s="167"/>
      <c r="D172" s="167"/>
      <c r="E172" s="167"/>
      <c r="F172" s="167"/>
      <c r="G172" s="167"/>
    </row>
    <row r="173" spans="3:7">
      <c r="C173" s="167"/>
      <c r="D173" s="167"/>
      <c r="E173" s="167"/>
      <c r="F173" s="167"/>
      <c r="G173" s="167"/>
    </row>
    <row r="174" spans="3:7">
      <c r="C174" s="167"/>
      <c r="D174" s="167"/>
      <c r="E174" s="167"/>
      <c r="F174" s="167"/>
      <c r="G174" s="167"/>
    </row>
    <row r="175" spans="3:7">
      <c r="C175" s="167"/>
      <c r="D175" s="167"/>
      <c r="E175" s="167"/>
      <c r="F175" s="167"/>
      <c r="G175" s="167"/>
    </row>
    <row r="176" spans="3:7">
      <c r="C176" s="167"/>
      <c r="D176" s="167"/>
      <c r="E176" s="167"/>
      <c r="F176" s="167"/>
      <c r="G176" s="167"/>
    </row>
    <row r="177" spans="3:7">
      <c r="C177" s="167"/>
      <c r="D177" s="167"/>
      <c r="E177" s="167"/>
      <c r="F177" s="167"/>
      <c r="G177" s="167"/>
    </row>
    <row r="178" spans="3:7">
      <c r="C178" s="167"/>
      <c r="D178" s="167"/>
      <c r="E178" s="167"/>
      <c r="F178" s="167"/>
      <c r="G178" s="167"/>
    </row>
    <row r="179" spans="3:7">
      <c r="C179" s="167"/>
      <c r="D179" s="167"/>
      <c r="E179" s="167"/>
      <c r="F179" s="167"/>
      <c r="G179" s="167"/>
    </row>
    <row r="180" spans="3:7">
      <c r="C180" s="167"/>
      <c r="D180" s="167"/>
      <c r="E180" s="167"/>
      <c r="F180" s="167"/>
      <c r="G180" s="167"/>
    </row>
  </sheetData>
  <mergeCells count="16">
    <mergeCell ref="C84:G84"/>
    <mergeCell ref="C6:C7"/>
    <mergeCell ref="D6:E6"/>
    <mergeCell ref="F6:G6"/>
    <mergeCell ref="C81:G81"/>
    <mergeCell ref="C82:G82"/>
    <mergeCell ref="C102:G102"/>
    <mergeCell ref="C85:G85"/>
    <mergeCell ref="C86:E86"/>
    <mergeCell ref="I89:M89"/>
    <mergeCell ref="C93:G93"/>
    <mergeCell ref="C97:G97"/>
    <mergeCell ref="C100:H100"/>
    <mergeCell ref="C89:G89"/>
    <mergeCell ref="C87:G87"/>
    <mergeCell ref="C91:H91"/>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40625" defaultRowHeight="12.75"/>
  <cols>
    <col min="1" max="1" width="1.42578125" style="7" customWidth="1"/>
    <col min="2" max="2" width="3.85546875" style="7" customWidth="1"/>
    <col min="3" max="3" width="125.7109375" style="7" customWidth="1"/>
    <col min="4" max="4" width="1" style="7" customWidth="1"/>
    <col min="5" max="7" width="15.7109375" style="7" customWidth="1"/>
    <col min="8" max="21" width="9.140625" style="7"/>
    <col min="22" max="26" width="9.140625" style="7" customWidth="1"/>
    <col min="27" max="16384" width="9.140625" style="7"/>
  </cols>
  <sheetData>
    <row r="1" spans="2:26" s="3" customFormat="1" ht="39.75" customHeight="1">
      <c r="B1" s="1625" t="s">
        <v>0</v>
      </c>
      <c r="C1" s="1625"/>
      <c r="D1" s="2"/>
      <c r="E1" s="2"/>
      <c r="I1" s="4"/>
      <c r="J1" s="4"/>
      <c r="X1" s="5">
        <v>1</v>
      </c>
      <c r="Y1" s="3" t="s">
        <v>1</v>
      </c>
      <c r="Z1" s="5">
        <v>2</v>
      </c>
    </row>
    <row r="2" spans="2:26" s="3" customFormat="1" ht="15" customHeight="1">
      <c r="B2" s="6"/>
      <c r="C2" s="6"/>
      <c r="D2" s="2"/>
      <c r="E2" s="2"/>
      <c r="X2" s="5">
        <v>2</v>
      </c>
      <c r="Y2" s="3" t="s">
        <v>2</v>
      </c>
      <c r="Z2" s="5"/>
    </row>
    <row r="3" spans="2:26" ht="6.75" customHeight="1"/>
    <row r="4" spans="2:26" ht="36" customHeight="1">
      <c r="B4" s="8"/>
      <c r="C4" s="9" t="str">
        <f>IF(Indice_index!$Z$1=1,"Índice","Index")</f>
        <v>Index</v>
      </c>
      <c r="D4" s="10"/>
      <c r="E4" s="11" t="str">
        <f>IF(Indice_index!$Z$1=1,"Última actualização","Last updated on")</f>
        <v>Last updated on</v>
      </c>
      <c r="F4" s="11" t="str">
        <f>IF(Indice_index!$Z$1=1,"Próxima actualização","Next update")</f>
        <v>Next update</v>
      </c>
      <c r="G4" s="11" t="str">
        <f>IF(Indice_index!$Z$1=1,"Último valor disponível","Last available figures")</f>
        <v>Last available figures</v>
      </c>
    </row>
    <row r="5" spans="2:26" ht="4.5" customHeight="1">
      <c r="C5" s="12"/>
    </row>
    <row r="6" spans="2:26" ht="20.25" customHeight="1">
      <c r="C6" s="372" t="str">
        <f>IF(Indice_index!$Z$1=1,"1 - Receita, despesa e saldo das Administrações Públicas","1 - General Government revenue, expenditure and balance")</f>
        <v>1 - General Government revenue, expenditure and balance</v>
      </c>
      <c r="E6" s="1626" t="str">
        <f>IF(Indice_index!$Z$1=1,"29-junho-22","29-June-22")</f>
        <v>29-June-22</v>
      </c>
      <c r="F6" s="1627" t="str">
        <f>IF(Indice_index!$Z$1=1,"26-julho-22","26-July-22")</f>
        <v>26-July-22</v>
      </c>
      <c r="G6" s="1627" t="str">
        <f>IF(Indice_index!$Z$1=1,"maio 2022","May 2022")</f>
        <v>May 2022</v>
      </c>
    </row>
    <row r="7" spans="2:26" ht="20.25" customHeight="1">
      <c r="C7" s="372" t="str">
        <f>IF(Indice_index!$Z$1=1,"2 - Conta Consolidada das Administrações Públicas","2 - General Government Consolidated Account")</f>
        <v>2 - General Government Consolidated Account</v>
      </c>
      <c r="E7" s="1626"/>
      <c r="F7" s="1627"/>
      <c r="G7" s="1627"/>
    </row>
    <row r="8" spans="2:26" ht="19.5" customHeight="1">
      <c r="C8" s="633" t="str">
        <f>IF(Indice_index!$Z$1=1,"3 - Impacto orçamental das medidas adotadas no âmbito da COVID-19 pelas Administrações Públicas","3 - Budgetary impact of COVID-19 policy measures by the General Government")</f>
        <v>3 - Budgetary impact of COVID-19 policy measures by the General Government</v>
      </c>
      <c r="E8" s="1626"/>
      <c r="F8" s="1627"/>
      <c r="G8" s="1627"/>
    </row>
    <row r="9" spans="2:26" ht="19.5" customHeight="1">
      <c r="C9" s="633"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E9" s="1626"/>
      <c r="F9" s="1627"/>
      <c r="G9" s="1627"/>
    </row>
    <row r="10" spans="2:26" ht="20.25" customHeight="1">
      <c r="C10" s="372" t="str">
        <f>IF(Indice_index!$Z$1=1,"5 - Execução Orçamental consolidada da Administração Central e Segurança Social","5 - Central Government and Social Security Consolidated Budget Execution")</f>
        <v>5 - Central Government and Social Security Consolidated Budget Execution</v>
      </c>
      <c r="E10" s="1626"/>
      <c r="F10" s="1627"/>
      <c r="G10" s="1627"/>
    </row>
    <row r="11" spans="2:26" ht="20.25" customHeight="1">
      <c r="C11" s="372" t="str">
        <f>IF(Indice_index!$Z$1=1,"6 - Conta consolidada da Administração Central","6 - Central Government consolidated execution")</f>
        <v>6 - Central Government consolidated execution</v>
      </c>
      <c r="E11" s="1626"/>
      <c r="F11" s="1627"/>
      <c r="G11" s="1627"/>
    </row>
    <row r="12" spans="2:26" ht="20.25" customHeight="1">
      <c r="C12" s="372" t="str">
        <f>IF(Indice_index!$Z$1=1,"7 - Execução Orçamental do Estado","7 - State Budget Execution")</f>
        <v>7 - State Budget Execution</v>
      </c>
      <c r="E12" s="1626"/>
      <c r="F12" s="1627"/>
      <c r="G12" s="1627"/>
      <c r="L12" s="13"/>
    </row>
    <row r="13" spans="2:26" ht="20.25" customHeight="1">
      <c r="C13" s="372" t="str">
        <f>IF(Indice_index!$Z$1=1,"8 - Execução da Receita do Estado","8 - State revenue implementation")</f>
        <v>8 - State revenue implementation</v>
      </c>
      <c r="E13" s="1626"/>
      <c r="F13" s="1627"/>
      <c r="G13" s="1627"/>
    </row>
    <row r="14" spans="2:26" ht="20.25" customHeight="1">
      <c r="C14" s="372" t="str">
        <f>IF(Indice_index!$Z$1=1,"9 - Execução Orçamental dos Serviços e Fundos Autónomos","9 - Autonomous Services and Funds Budget Execution")</f>
        <v>9 - Autonomous Services and Funds Budget Execution</v>
      </c>
      <c r="E14" s="1626"/>
      <c r="F14" s="1627"/>
      <c r="G14" s="1627"/>
    </row>
    <row r="15" spans="2:26" ht="20.25" customHeight="1">
      <c r="C15" s="372" t="str">
        <f>IF(Indice_index!$Z$1=1,"10 - Execução Orçamental das Entidades Públicas Reclassificadas","10 - Reclassified State Owned Enterprises Execution")</f>
        <v>10 - Reclassified State Owned Enterprises Execution</v>
      </c>
      <c r="E15" s="1626"/>
      <c r="F15" s="1627"/>
      <c r="G15" s="1627"/>
    </row>
    <row r="16" spans="2:26" ht="20.25" customHeight="1">
      <c r="C16" s="372" t="str">
        <f>IF(Indice_index!$Z$1=1,"11 - Execução Orçamental da Caixa Geral de Aposentações","11 - Public Servants Social Scheme Budget Execution")</f>
        <v>11 - Public Servants Social Scheme Budget Execution</v>
      </c>
      <c r="E16" s="1626"/>
      <c r="F16" s="1627"/>
      <c r="G16" s="1627"/>
    </row>
    <row r="17" spans="2:7" ht="20.25" customHeight="1">
      <c r="C17" s="372" t="str">
        <f>IF(Indice_index!$Z$1=1,"12 - Execução Orçamental da Segurança Social, por natureza","12 - Social Security Budget Execution by nature")</f>
        <v>12 - Social Security Budget Execution by nature</v>
      </c>
      <c r="E17" s="1626"/>
      <c r="F17" s="1627"/>
      <c r="G17" s="1627"/>
    </row>
    <row r="18" spans="2:7" ht="20.25" customHeight="1">
      <c r="C18" s="372" t="str">
        <f>IF(Indice_index!$Z$1=1,"13 - Execução Orçamental da Segurança Social por classificação económica","13 - Social Security Budget Execution by economic categories")</f>
        <v>13 - Social Security Budget Execution by economic categories</v>
      </c>
      <c r="E18" s="1626"/>
      <c r="F18" s="1627"/>
      <c r="G18" s="1627"/>
    </row>
    <row r="19" spans="2:7" s="15" customFormat="1" ht="20.25" customHeight="1">
      <c r="B19" s="7"/>
      <c r="C19" s="372" t="str">
        <f>IF(Indice_index!$Z$1=1,"14 - Execução Orçamental da Administração Regional","14 - Regional Government")</f>
        <v>14 - Regional Government</v>
      </c>
      <c r="D19" s="14"/>
      <c r="E19" s="1626"/>
      <c r="F19" s="1627"/>
      <c r="G19" s="1627"/>
    </row>
    <row r="20" spans="2:7" ht="20.25" customHeight="1">
      <c r="C20" s="372" t="str">
        <f>IF(Indice_index!$Z$1=1,"15 - Execução Orçamental da Administração Local","15 - Local Government")</f>
        <v>15 - Local Government</v>
      </c>
      <c r="E20" s="1626"/>
      <c r="F20" s="1627"/>
      <c r="G20" s="1627"/>
    </row>
    <row r="21" spans="2:7" ht="20.25" customHeight="1">
      <c r="C21" s="372" t="str">
        <f>IF(Indice_index!$Z$1=1,"16 - Despesa com Ativos Financeiros do Estado","16 - State Financial assets expenditure")</f>
        <v>16 - State Financial assets expenditure</v>
      </c>
      <c r="E21" s="1626"/>
      <c r="F21" s="1627"/>
      <c r="G21" s="1627"/>
    </row>
    <row r="22" spans="2:7" ht="20.25" customHeight="1">
      <c r="C22" s="372" t="str">
        <f>IF(Indice_index!$Z$1=1,"17 - Execução financeira consolidada do Serviço Nacional de Saúde","17 - National Health Service finantial implementation")</f>
        <v>17 - National Health Service finantial implementation</v>
      </c>
      <c r="E22" s="1626"/>
      <c r="F22" s="1627"/>
      <c r="G22" s="1627"/>
    </row>
    <row r="23" spans="2:7" ht="20.25" customHeight="1">
      <c r="B23" s="15"/>
      <c r="C23" s="372" t="str">
        <f>IF(Indice_index!$Z$1=1,"18 - Dívida não Financeira da Administração Pública","18 - General Government non-Financial Debt")</f>
        <v>18 - General Government non-Financial Debt</v>
      </c>
      <c r="E23" s="1626"/>
      <c r="F23" s="1627"/>
      <c r="G23" s="1627"/>
    </row>
    <row r="24" spans="2:7" ht="20.25" customHeight="1">
      <c r="C24" s="372" t="str">
        <f>IF(Indice_index!$Z$1=1,"19 - Indicadores Físicos e Financeiros do Sistema de Proteção Social da Função Pública","19 - Public Servants Social Scheme - Flows")</f>
        <v>19 - Public Servants Social Scheme - Flows</v>
      </c>
      <c r="E24" s="1626"/>
      <c r="F24" s="1627"/>
      <c r="G24" s="1627"/>
    </row>
    <row r="25" spans="2:7" ht="19.5" customHeight="1">
      <c r="C25" s="372"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E25" s="1626"/>
      <c r="F25" s="1627"/>
      <c r="G25" s="1627"/>
    </row>
    <row r="26" spans="2:7" ht="19.5" customHeight="1">
      <c r="C26" s="372" t="str">
        <f>IF(Indice_index!$Z$1=1,"21 - Estimativas de execução consideradas na conta da Administração Central","21 - Estimated amounts in Central Government Account")</f>
        <v>21 - Estimated amounts in Central Government Account</v>
      </c>
      <c r="E26" s="1626"/>
      <c r="F26" s="1627"/>
      <c r="G26" s="1627"/>
    </row>
    <row r="27" spans="2:7" s="420" customFormat="1" ht="18.75">
      <c r="C27" s="372" t="str">
        <f>IF(Indice_index!$Z$1=1,"22 - Utilização condicionada das dotações orçamentais","22 - Frozen allocations")</f>
        <v>22 - Frozen allocations</v>
      </c>
      <c r="D27" s="421"/>
      <c r="E27" s="1626"/>
      <c r="F27" s="1627"/>
      <c r="G27" s="1627"/>
    </row>
    <row r="28" spans="2:7" s="420" customFormat="1" ht="18.75">
      <c r="C28" s="372" t="str">
        <f>IF(Indice_index!$Z$1=1,"23 - Lista de entidades da Administração Central em 2022","23 - Central Administration's list of entities in 2022")</f>
        <v>23 - Central Administration's list of entities in 2022</v>
      </c>
      <c r="D28" s="421"/>
      <c r="E28" s="1626"/>
      <c r="F28" s="1627"/>
      <c r="G28" s="1627"/>
    </row>
    <row r="30" spans="2:7">
      <c r="C30" s="16"/>
    </row>
    <row r="43" spans="3:3" s="382" customFormat="1">
      <c r="C43" s="328"/>
    </row>
    <row r="44" spans="3:3" s="382" customFormat="1">
      <c r="C44" s="328"/>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27" location="'22 - Util. Cond. Dot. Orç'!A1" display="'22 - Util. Cond. Dot. Orç'!A1" xr:uid="{00000000-0004-0000-0200-000013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3 - Lista Entidades AC 2022'!A1" display="'23 - Lista Entidades AC 2022'!A1" xr:uid="{0D49A08C-90F1-46DE-B02C-DCCDCE71443B}"/>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7:F28 E6:F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2809875</xdr:colOff>
                    <xdr:row>0</xdr:row>
                    <xdr:rowOff>295275</xdr:rowOff>
                  </from>
                  <to>
                    <xdr:col>2</xdr:col>
                    <xdr:colOff>5410200</xdr:colOff>
                    <xdr:row>1</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Q73"/>
  <sheetViews>
    <sheetView showGridLines="0" zoomScaleNormal="100" zoomScaleSheetLayoutView="100" workbookViewId="0">
      <selection activeCell="B2" sqref="B2"/>
    </sheetView>
  </sheetViews>
  <sheetFormatPr defaultColWidth="9.140625" defaultRowHeight="12.75"/>
  <cols>
    <col min="1" max="1" width="1.5703125" style="396" customWidth="1"/>
    <col min="2" max="2" width="4.42578125" style="396" customWidth="1"/>
    <col min="3" max="3" width="44.5703125" style="396" customWidth="1"/>
    <col min="4" max="4" width="9.42578125" style="396" customWidth="1"/>
    <col min="5" max="5" width="1.140625" style="396" customWidth="1"/>
    <col min="6" max="8" width="9.42578125" style="396" customWidth="1"/>
    <col min="9" max="9" width="1.140625" style="396" customWidth="1"/>
    <col min="10" max="15" width="8.5703125" style="396" customWidth="1"/>
    <col min="16" max="16384" width="9.140625" style="396"/>
  </cols>
  <sheetData>
    <row r="1" spans="1:17" ht="15" customHeight="1"/>
    <row r="2" spans="1:17" ht="24" customHeight="1">
      <c r="B2" s="8"/>
      <c r="C2" s="336" t="str">
        <f>IF(Indice_index!$Z$1=1,"16 - Despesa com Ativos Financeiros do Estado","16 - State Financial assets expenditure")</f>
        <v>16 - State Financial assets expenditure</v>
      </c>
      <c r="D2" s="336"/>
      <c r="E2" s="336"/>
      <c r="F2" s="336"/>
      <c r="G2" s="336"/>
      <c r="H2" s="336"/>
      <c r="I2" s="336"/>
    </row>
    <row r="3" spans="1:17" ht="15" customHeight="1"/>
    <row r="4" spans="1:17" ht="15" customHeight="1"/>
    <row r="5" spans="1:17" s="397" customFormat="1" ht="15" customHeight="1">
      <c r="C5" s="1056" t="str">
        <f>+'5 - Conta AC + SS'!C5</f>
        <v>Period: January to May</v>
      </c>
      <c r="D5" s="1056"/>
      <c r="E5" s="470"/>
      <c r="F5" s="1056"/>
      <c r="H5" s="955" t="str">
        <f>IF(Indice_index!$Z$1=1,"€ Milhões","€ Millions")</f>
        <v>€ Millions</v>
      </c>
      <c r="I5" s="396"/>
    </row>
    <row r="6" spans="1:17" ht="22.5">
      <c r="C6" s="1057"/>
      <c r="D6" s="1058" t="str">
        <f>IF(Indice_index!$Z$1=1,"CGE","Final execution")</f>
        <v>Final execution</v>
      </c>
      <c r="E6" s="1059"/>
      <c r="F6" s="1731" t="str">
        <f>IF(Indice_index!$Z$1=1,"Execução","Execution")</f>
        <v>Execution</v>
      </c>
      <c r="G6" s="1731"/>
      <c r="H6" s="1075" t="str">
        <f>IF(Indice_index!$Z$1=1,"Execução Acumulada","Accumulated Execution")</f>
        <v>Accumulated Execution</v>
      </c>
      <c r="J6" s="398"/>
      <c r="K6" s="398"/>
      <c r="L6" s="398"/>
      <c r="M6" s="398"/>
      <c r="N6" s="398"/>
      <c r="O6" s="398"/>
      <c r="P6" s="399"/>
      <c r="Q6" s="399"/>
    </row>
    <row r="7" spans="1:17" ht="21.75" customHeight="1">
      <c r="C7" s="1060"/>
      <c r="D7" s="1061" t="s">
        <v>68</v>
      </c>
      <c r="E7" s="1062"/>
      <c r="F7" s="1076" t="str">
        <f>IF(Indice_index!$Z$1=1,"abr-22","Apr-22")</f>
        <v>Apr-22</v>
      </c>
      <c r="G7" s="1076" t="str">
        <f>IF(Indice_index!$Z$1=1,"mai-22","May-22")</f>
        <v>May-22</v>
      </c>
      <c r="H7" s="1061" t="s">
        <v>75</v>
      </c>
      <c r="J7" s="400"/>
      <c r="K7" s="401"/>
      <c r="L7" s="395"/>
      <c r="M7" s="395"/>
      <c r="N7" s="402"/>
      <c r="O7" s="403"/>
      <c r="P7" s="399"/>
      <c r="Q7" s="399"/>
    </row>
    <row r="8" spans="1:17" s="404" customFormat="1" ht="4.5" customHeight="1">
      <c r="A8" s="396"/>
      <c r="C8" s="1063"/>
      <c r="D8" s="1063"/>
      <c r="E8" s="1063"/>
      <c r="F8" s="405"/>
      <c r="G8" s="405"/>
      <c r="H8" s="405"/>
      <c r="I8" s="396"/>
      <c r="J8" s="405"/>
      <c r="L8" s="405"/>
      <c r="N8" s="375"/>
    </row>
    <row r="9" spans="1:17" s="397" customFormat="1" ht="15" customHeight="1">
      <c r="C9" s="1064" t="str">
        <f>IF(Indice_index!$Z$1=1,"Empréstimos a curto prazo","Short term loans")</f>
        <v>Short term loans</v>
      </c>
      <c r="D9" s="1065">
        <v>19.559999999999999</v>
      </c>
      <c r="E9" s="406"/>
      <c r="F9" s="1065">
        <v>29.961746000000002</v>
      </c>
      <c r="G9" s="1065">
        <v>0</v>
      </c>
      <c r="H9" s="1065">
        <v>64.961746000000005</v>
      </c>
      <c r="I9" s="396"/>
      <c r="J9" s="407"/>
      <c r="K9" s="408"/>
      <c r="L9" s="407"/>
      <c r="M9" s="407"/>
      <c r="N9" s="407"/>
      <c r="O9" s="409"/>
      <c r="P9" s="409"/>
    </row>
    <row r="10" spans="1:17" s="397" customFormat="1" ht="15" customHeight="1">
      <c r="C10" s="1064" t="str">
        <f>IF(Indice_index!$Z$1=1,"Empréstimos a médio e longo prazo","Medium-long term loans")</f>
        <v>Medium-long term loans</v>
      </c>
      <c r="D10" s="1065">
        <v>911.41391612999985</v>
      </c>
      <c r="E10" s="406"/>
      <c r="F10" s="1065">
        <v>0</v>
      </c>
      <c r="G10" s="1065">
        <v>11.704772540000004</v>
      </c>
      <c r="H10" s="1065">
        <v>179.23427195000002</v>
      </c>
      <c r="I10" s="396"/>
      <c r="J10" s="407"/>
      <c r="K10" s="408"/>
      <c r="L10" s="407"/>
      <c r="M10" s="407"/>
      <c r="N10" s="407"/>
      <c r="O10" s="409"/>
      <c r="P10" s="409"/>
    </row>
    <row r="11" spans="1:17" ht="15" customHeight="1">
      <c r="C11" s="1066" t="str">
        <f>IF(Indice_index!$Z$1=1,"Entidades públicas","Public entities")</f>
        <v>Public entities</v>
      </c>
      <c r="D11" s="395">
        <v>0.85635249000000002</v>
      </c>
      <c r="E11" s="395"/>
      <c r="F11" s="395">
        <v>0</v>
      </c>
      <c r="G11" s="395">
        <v>0</v>
      </c>
      <c r="H11" s="395">
        <v>0</v>
      </c>
      <c r="J11" s="410"/>
      <c r="K11" s="411"/>
      <c r="L11" s="410"/>
      <c r="M11" s="410"/>
      <c r="N11" s="410"/>
      <c r="O11" s="395"/>
      <c r="P11" s="395"/>
    </row>
    <row r="12" spans="1:17" ht="15" customHeight="1">
      <c r="C12" s="1066" t="str">
        <f>IF(Indice_index!$Z$1=1,"Entidades públicas reclassificadas","Reclassified public entities")</f>
        <v>Reclassified public entities</v>
      </c>
      <c r="D12" s="395">
        <v>823.68396933999986</v>
      </c>
      <c r="E12" s="395"/>
      <c r="F12" s="395">
        <v>0</v>
      </c>
      <c r="G12" s="395">
        <v>0</v>
      </c>
      <c r="H12" s="395">
        <v>141.49270100000001</v>
      </c>
      <c r="J12" s="410"/>
      <c r="K12" s="411"/>
      <c r="L12" s="410"/>
      <c r="M12" s="410"/>
      <c r="N12" s="410"/>
      <c r="O12" s="395"/>
      <c r="P12" s="395"/>
    </row>
    <row r="13" spans="1:17" ht="15" customHeight="1">
      <c r="C13" s="1066" t="str">
        <f>IF(Indice_index!$Z$1=1,"Administração Local - Continente Incêndios","Local Government - Continent Fires")</f>
        <v>Local Government - Continent Fires</v>
      </c>
      <c r="D13" s="395">
        <v>0.28353600000000001</v>
      </c>
      <c r="E13" s="395"/>
      <c r="F13" s="395">
        <v>0</v>
      </c>
      <c r="G13" s="395">
        <v>0</v>
      </c>
      <c r="H13" s="395">
        <v>0</v>
      </c>
      <c r="J13" s="410"/>
      <c r="K13" s="411"/>
      <c r="L13" s="410"/>
      <c r="M13" s="410"/>
      <c r="N13" s="410"/>
      <c r="O13" s="395"/>
      <c r="P13" s="395"/>
    </row>
    <row r="14" spans="1:17" ht="15" customHeight="1">
      <c r="C14" s="1067" t="str">
        <f>IF(Indice_index!$Z$1=1,"Países terceiros","Other countries")</f>
        <v>Other countries</v>
      </c>
      <c r="D14" s="395">
        <v>0</v>
      </c>
      <c r="E14" s="395"/>
      <c r="F14" s="395">
        <v>0</v>
      </c>
      <c r="G14" s="395">
        <v>0</v>
      </c>
      <c r="H14" s="395">
        <v>0</v>
      </c>
      <c r="J14" s="410"/>
      <c r="K14" s="411"/>
      <c r="L14" s="410"/>
      <c r="M14" s="410"/>
      <c r="N14" s="410"/>
      <c r="O14" s="395"/>
      <c r="P14" s="395"/>
    </row>
    <row r="15" spans="1:17" ht="15" customHeight="1">
      <c r="C15" s="1066" t="str">
        <f>IF(Indice_index!$Z$1=1,"Fundo de Resolução Europeu","European Resolution Fund")</f>
        <v>European Resolution Fund</v>
      </c>
      <c r="D15" s="395">
        <v>0</v>
      </c>
      <c r="E15" s="395"/>
      <c r="F15" s="395">
        <v>0</v>
      </c>
      <c r="G15" s="395">
        <v>0</v>
      </c>
      <c r="H15" s="395">
        <v>0</v>
      </c>
      <c r="J15" s="410"/>
      <c r="K15" s="411"/>
      <c r="L15" s="410"/>
      <c r="M15" s="410"/>
      <c r="N15" s="410"/>
      <c r="O15" s="395"/>
      <c r="P15" s="395"/>
    </row>
    <row r="16" spans="1:17" ht="15" customHeight="1">
      <c r="C16" s="1066" t="str">
        <f>IF(Indice_index!$Z$1=1,"Portugal 2020","Portugal 2020")</f>
        <v>Portugal 2020</v>
      </c>
      <c r="D16" s="395">
        <v>50.279335079999996</v>
      </c>
      <c r="E16" s="395"/>
      <c r="F16" s="395">
        <v>0</v>
      </c>
      <c r="G16" s="395">
        <v>0</v>
      </c>
      <c r="H16" s="395">
        <v>0</v>
      </c>
      <c r="J16" s="410"/>
      <c r="K16" s="411"/>
      <c r="L16" s="410"/>
      <c r="M16" s="410"/>
      <c r="N16" s="410"/>
      <c r="O16" s="395"/>
      <c r="P16" s="395"/>
    </row>
    <row r="17" spans="3:17" ht="15" customHeight="1">
      <c r="C17" s="1066" t="str">
        <f>IF(Indice_index!$Z$1=1,"Fundos públicos","Public Funds")</f>
        <v>Public Funds</v>
      </c>
      <c r="D17" s="395">
        <v>36.31072322</v>
      </c>
      <c r="E17" s="395"/>
      <c r="F17" s="395">
        <v>0</v>
      </c>
      <c r="G17" s="395">
        <v>11.704772540000004</v>
      </c>
      <c r="H17" s="395">
        <v>37.741570950000003</v>
      </c>
      <c r="J17" s="410"/>
      <c r="K17" s="411"/>
      <c r="L17" s="410"/>
      <c r="M17" s="410"/>
      <c r="N17" s="410"/>
      <c r="O17" s="395"/>
      <c r="P17" s="395"/>
    </row>
    <row r="18" spans="3:17" s="397" customFormat="1" ht="15" customHeight="1">
      <c r="C18" s="1064" t="str">
        <f>IF(Indice_index!$Z$1=1,"Dotações de capital","Capital injections")</f>
        <v>Capital injections</v>
      </c>
      <c r="D18" s="1065">
        <v>3997.8044726200001</v>
      </c>
      <c r="E18" s="406"/>
      <c r="F18" s="1065">
        <v>0</v>
      </c>
      <c r="G18" s="1065">
        <v>124.90736699999991</v>
      </c>
      <c r="H18" s="1065">
        <v>629.10210999999993</v>
      </c>
      <c r="I18" s="396"/>
      <c r="J18" s="407"/>
      <c r="K18" s="408"/>
      <c r="L18" s="407"/>
      <c r="M18" s="407"/>
      <c r="N18" s="407"/>
      <c r="O18" s="409"/>
      <c r="P18" s="409"/>
    </row>
    <row r="19" spans="3:17" ht="15" customHeight="1">
      <c r="C19" s="1066" t="str">
        <f>IF(Indice_index!$Z$1=1,"Empresas públicas não financeiras","Non financial public enterprises")</f>
        <v>Non financial public enterprises</v>
      </c>
      <c r="D19" s="395">
        <v>998.5</v>
      </c>
      <c r="E19" s="395"/>
      <c r="F19" s="395">
        <v>0</v>
      </c>
      <c r="G19" s="395">
        <v>0</v>
      </c>
      <c r="H19" s="395">
        <v>0</v>
      </c>
      <c r="J19" s="410"/>
      <c r="K19" s="411"/>
      <c r="L19" s="410"/>
      <c r="M19" s="410"/>
      <c r="N19" s="410"/>
      <c r="O19" s="395"/>
      <c r="P19" s="395"/>
    </row>
    <row r="20" spans="3:17" ht="15" customHeight="1">
      <c r="C20" s="1066" t="str">
        <f>IF(Indice_index!$Z$1=1,"Empresas públicas reclassificadas","Reclassified public entities")</f>
        <v>Reclassified public entities</v>
      </c>
      <c r="D20" s="395">
        <v>2999.1892240000002</v>
      </c>
      <c r="E20" s="395"/>
      <c r="F20" s="395">
        <v>0</v>
      </c>
      <c r="G20" s="395">
        <v>124.90736699999991</v>
      </c>
      <c r="H20" s="395">
        <v>629.10210999999993</v>
      </c>
      <c r="J20" s="410"/>
      <c r="K20" s="411"/>
      <c r="L20" s="410"/>
      <c r="M20" s="410"/>
      <c r="N20" s="410"/>
      <c r="O20" s="395"/>
      <c r="P20" s="395"/>
    </row>
    <row r="21" spans="3:17" ht="15" customHeight="1">
      <c r="C21" s="1066" t="str">
        <f>IF(Indice_index!$Z$1=1,"Fundos Públicos","Public Funds")</f>
        <v>Public Funds</v>
      </c>
      <c r="D21" s="395">
        <v>0.11524862</v>
      </c>
      <c r="E21" s="395"/>
      <c r="F21" s="395">
        <v>0</v>
      </c>
      <c r="G21" s="395">
        <v>0</v>
      </c>
      <c r="H21" s="395">
        <v>0</v>
      </c>
      <c r="J21" s="410"/>
      <c r="K21" s="411"/>
      <c r="L21" s="410"/>
      <c r="M21" s="410"/>
      <c r="N21" s="410"/>
      <c r="O21" s="395"/>
      <c r="P21" s="395"/>
    </row>
    <row r="22" spans="3:17" s="397" customFormat="1" ht="15" customHeight="1">
      <c r="C22" s="1064" t="str">
        <f>IF(Indice_index!$Z$1=1,"Aquisição de Participações","Acquisition of Shares")</f>
        <v>Acquisition of Shares</v>
      </c>
      <c r="D22" s="1065">
        <v>9.9999999999999995E-7</v>
      </c>
      <c r="E22" s="406"/>
      <c r="F22" s="1065">
        <v>0</v>
      </c>
      <c r="G22" s="1065">
        <v>0</v>
      </c>
      <c r="H22" s="1065">
        <v>0</v>
      </c>
      <c r="I22" s="396"/>
      <c r="J22" s="407"/>
      <c r="K22" s="408"/>
      <c r="L22" s="407"/>
      <c r="M22" s="407"/>
      <c r="N22" s="407"/>
      <c r="O22" s="409"/>
      <c r="P22" s="409"/>
    </row>
    <row r="23" spans="3:17" s="397" customFormat="1" ht="15" customHeight="1">
      <c r="C23" s="1064" t="str">
        <f>IF(Indice_index!$Z$1=1,"Aquisição de Créditos","Credit acquisition")</f>
        <v>Credit acquisition</v>
      </c>
      <c r="D23" s="1065">
        <v>0</v>
      </c>
      <c r="E23" s="406"/>
      <c r="F23" s="1065">
        <v>0</v>
      </c>
      <c r="G23" s="1065">
        <v>0</v>
      </c>
      <c r="H23" s="1065">
        <v>0</v>
      </c>
      <c r="I23" s="396"/>
      <c r="J23" s="407"/>
      <c r="K23" s="408"/>
      <c r="L23" s="407"/>
      <c r="M23" s="407"/>
      <c r="N23" s="407"/>
      <c r="O23" s="409"/>
      <c r="P23" s="409"/>
    </row>
    <row r="24" spans="3:17" s="397" customFormat="1" ht="15" customHeight="1">
      <c r="C24" s="1064" t="str">
        <f>IF(Indice_index!$Z$1=1,"Títulos de Curto Prazo","Short Term Bonds")</f>
        <v>Short Term Bonds</v>
      </c>
      <c r="D24" s="1065">
        <v>0</v>
      </c>
      <c r="E24" s="406"/>
      <c r="F24" s="1065">
        <v>0</v>
      </c>
      <c r="G24" s="1065">
        <v>0</v>
      </c>
      <c r="H24" s="1065">
        <v>0</v>
      </c>
      <c r="I24" s="396"/>
      <c r="J24" s="407"/>
      <c r="K24" s="408"/>
      <c r="L24" s="407"/>
      <c r="M24" s="407"/>
      <c r="N24" s="407"/>
      <c r="O24" s="409"/>
      <c r="P24" s="409"/>
    </row>
    <row r="25" spans="3:17" s="397" customFormat="1" ht="15" customHeight="1">
      <c r="C25" s="1064" t="str">
        <f>IF(Indice_index!$Z$1=1,"Execução de garantias","Guarantees executions")</f>
        <v>Guarantees executions</v>
      </c>
      <c r="D25" s="1065">
        <v>14.31235051</v>
      </c>
      <c r="E25" s="406"/>
      <c r="F25" s="1065">
        <v>9.2094799999999921E-3</v>
      </c>
      <c r="G25" s="1065">
        <v>0</v>
      </c>
      <c r="H25" s="1065">
        <v>0.30611736000000001</v>
      </c>
      <c r="I25" s="396"/>
      <c r="J25" s="407"/>
      <c r="K25" s="408"/>
      <c r="L25" s="407"/>
      <c r="M25" s="407"/>
      <c r="N25" s="407"/>
      <c r="O25" s="409"/>
      <c r="P25" s="409"/>
    </row>
    <row r="26" spans="3:17" s="397" customFormat="1" ht="15" customHeight="1">
      <c r="C26" s="1064" t="str">
        <f>IF(Indice_index!$Z$1=1,"Expropriações","Expropriations")</f>
        <v>Expropriations</v>
      </c>
      <c r="D26" s="1065">
        <v>0</v>
      </c>
      <c r="E26" s="406"/>
      <c r="F26" s="1065">
        <v>0</v>
      </c>
      <c r="G26" s="1065">
        <v>0</v>
      </c>
      <c r="H26" s="1065">
        <v>0</v>
      </c>
      <c r="I26" s="396"/>
      <c r="J26" s="407"/>
      <c r="K26" s="408"/>
      <c r="L26" s="407"/>
      <c r="M26" s="407"/>
      <c r="N26" s="407"/>
      <c r="O26" s="409"/>
      <c r="P26" s="409"/>
    </row>
    <row r="27" spans="3:17" s="397" customFormat="1" ht="15" customHeight="1">
      <c r="C27" s="1064" t="str">
        <f>IF(Indice_index!$Z$1=1,"Participações em organizações internacionais","International Organizations membership")</f>
        <v>International Organizations membership</v>
      </c>
      <c r="D27" s="1065">
        <v>1.8977506899999999</v>
      </c>
      <c r="E27" s="406"/>
      <c r="F27" s="1065">
        <v>0</v>
      </c>
      <c r="G27" s="1065">
        <v>0</v>
      </c>
      <c r="H27" s="1065">
        <v>1.8009701</v>
      </c>
      <c r="I27" s="396"/>
      <c r="J27" s="407"/>
      <c r="K27" s="408"/>
      <c r="L27" s="407"/>
      <c r="M27" s="407"/>
      <c r="N27" s="407"/>
      <c r="O27" s="409"/>
      <c r="P27" s="409"/>
    </row>
    <row r="28" spans="3:17" s="397" customFormat="1" ht="4.5" customHeight="1">
      <c r="C28" s="1068"/>
      <c r="D28" s="1068"/>
      <c r="E28" s="1069"/>
      <c r="F28" s="1068"/>
      <c r="G28" s="1068"/>
      <c r="H28" s="1068"/>
      <c r="I28" s="396"/>
      <c r="J28" s="407"/>
      <c r="K28" s="408"/>
      <c r="L28" s="407"/>
      <c r="M28" s="407"/>
      <c r="N28" s="407"/>
      <c r="O28" s="409"/>
      <c r="P28" s="409"/>
      <c r="Q28" s="412"/>
    </row>
    <row r="29" spans="3:17" s="397" customFormat="1" ht="15" customHeight="1">
      <c r="C29" s="1070" t="str">
        <f>IF(Indice_index!$Z$1=1,"Total dos ativos financeiros","Financial Assets - Total")</f>
        <v>Financial Assets - Total</v>
      </c>
      <c r="D29" s="1071">
        <v>4944.9884909500006</v>
      </c>
      <c r="E29" s="1072"/>
      <c r="F29" s="1071">
        <v>29.970955480000001</v>
      </c>
      <c r="G29" s="1071">
        <v>136.6121395399999</v>
      </c>
      <c r="H29" s="1071">
        <v>875.40521540999998</v>
      </c>
      <c r="I29" s="396"/>
      <c r="J29" s="407"/>
      <c r="K29" s="408"/>
      <c r="L29" s="407"/>
      <c r="M29" s="407"/>
      <c r="N29" s="407"/>
      <c r="O29" s="409"/>
      <c r="P29" s="409"/>
      <c r="Q29" s="409"/>
    </row>
    <row r="30" spans="3:17" ht="4.5" customHeight="1">
      <c r="C30" s="1073"/>
      <c r="D30" s="406"/>
      <c r="E30" s="1073"/>
      <c r="F30" s="406"/>
      <c r="G30" s="406"/>
      <c r="H30" s="406"/>
      <c r="J30" s="413"/>
      <c r="K30" s="411"/>
      <c r="L30" s="406"/>
      <c r="M30" s="406"/>
      <c r="N30" s="406"/>
      <c r="O30" s="406"/>
      <c r="P30" s="406"/>
    </row>
    <row r="31" spans="3:17" ht="15" customHeight="1">
      <c r="C31" s="1074" t="str">
        <f>IF(Indice_index!$Z$1=1,"Fonte: Ministério das Finanças","Source: Ministry of Finance")</f>
        <v>Source: Ministry of Finance</v>
      </c>
      <c r="D31" s="138"/>
      <c r="E31" s="1074"/>
      <c r="F31" s="335"/>
      <c r="G31" s="335"/>
      <c r="H31" s="335"/>
      <c r="J31" s="413"/>
      <c r="K31" s="413"/>
      <c r="L31" s="414"/>
      <c r="M31" s="413"/>
      <c r="N31" s="413"/>
    </row>
    <row r="32" spans="3:17">
      <c r="C32" s="138"/>
      <c r="D32" s="138"/>
      <c r="E32" s="415"/>
      <c r="F32" s="138"/>
      <c r="G32" s="138"/>
      <c r="H32" s="138"/>
      <c r="I32" s="415"/>
      <c r="J32" s="413"/>
      <c r="K32" s="413"/>
      <c r="L32" s="414"/>
      <c r="M32" s="413"/>
      <c r="N32" s="413"/>
    </row>
    <row r="33" spans="3:14">
      <c r="C33" s="138"/>
      <c r="D33" s="138"/>
      <c r="E33" s="415"/>
      <c r="F33" s="138"/>
      <c r="G33" s="138"/>
      <c r="H33" s="138"/>
      <c r="I33" s="415"/>
      <c r="J33" s="413"/>
      <c r="K33" s="413"/>
      <c r="L33" s="414"/>
      <c r="M33" s="413"/>
      <c r="N33" s="413"/>
    </row>
    <row r="34" spans="3:14">
      <c r="C34" s="138"/>
      <c r="D34" s="138"/>
      <c r="E34" s="415"/>
      <c r="F34" s="138"/>
      <c r="G34" s="138"/>
      <c r="H34" s="138"/>
      <c r="I34" s="415"/>
      <c r="J34" s="413"/>
      <c r="K34" s="413"/>
      <c r="L34" s="416"/>
      <c r="M34" s="413"/>
      <c r="N34" s="413"/>
    </row>
    <row r="35" spans="3:14">
      <c r="C35" s="138"/>
      <c r="D35" s="138"/>
      <c r="E35" s="415"/>
      <c r="F35" s="138"/>
      <c r="G35" s="138"/>
      <c r="H35" s="138"/>
      <c r="I35" s="415"/>
      <c r="J35" s="406"/>
      <c r="K35" s="406"/>
      <c r="L35" s="406"/>
      <c r="M35" s="406"/>
      <c r="N35" s="406"/>
    </row>
    <row r="36" spans="3:14">
      <c r="C36" s="138"/>
      <c r="D36" s="138"/>
      <c r="E36" s="415"/>
      <c r="F36" s="138"/>
      <c r="G36" s="138"/>
      <c r="H36" s="138"/>
      <c r="I36" s="415"/>
      <c r="J36" s="413"/>
      <c r="K36" s="413"/>
      <c r="L36" s="417"/>
      <c r="M36" s="413"/>
      <c r="N36" s="413"/>
    </row>
    <row r="37" spans="3:14">
      <c r="E37" s="415"/>
      <c r="I37" s="415"/>
      <c r="J37" s="413"/>
      <c r="K37" s="413"/>
      <c r="L37" s="413"/>
      <c r="M37" s="413"/>
      <c r="N37" s="413"/>
    </row>
    <row r="38" spans="3:14">
      <c r="E38" s="415"/>
      <c r="I38" s="415"/>
      <c r="J38" s="413"/>
      <c r="K38" s="413"/>
      <c r="L38" s="416"/>
      <c r="M38" s="413"/>
      <c r="N38" s="413"/>
    </row>
    <row r="39" spans="3:14">
      <c r="E39" s="415"/>
      <c r="I39" s="415"/>
      <c r="J39" s="413"/>
      <c r="K39" s="413"/>
      <c r="L39" s="416"/>
      <c r="M39" s="413"/>
      <c r="N39" s="413"/>
    </row>
    <row r="40" spans="3:14">
      <c r="E40" s="415"/>
      <c r="I40" s="415"/>
      <c r="J40" s="413"/>
      <c r="K40" s="413"/>
      <c r="L40" s="416"/>
      <c r="M40" s="413"/>
      <c r="N40" s="413"/>
    </row>
    <row r="41" spans="3:14">
      <c r="E41" s="415"/>
      <c r="I41" s="415"/>
      <c r="J41" s="413"/>
      <c r="K41" s="413"/>
      <c r="L41" s="417"/>
      <c r="M41" s="413"/>
      <c r="N41" s="413"/>
    </row>
    <row r="42" spans="3:14">
      <c r="E42" s="415"/>
      <c r="I42" s="415"/>
      <c r="J42" s="413"/>
      <c r="K42" s="413"/>
      <c r="L42" s="417"/>
      <c r="M42" s="413"/>
      <c r="N42" s="413"/>
    </row>
    <row r="43" spans="3:14">
      <c r="E43" s="415"/>
      <c r="I43" s="415"/>
      <c r="J43" s="413"/>
      <c r="K43" s="413"/>
      <c r="L43" s="413"/>
      <c r="M43" s="413"/>
      <c r="N43" s="413"/>
    </row>
    <row r="44" spans="3:14">
      <c r="E44" s="415"/>
      <c r="I44" s="415"/>
      <c r="J44" s="413"/>
      <c r="K44" s="413"/>
      <c r="L44" s="417"/>
      <c r="M44" s="413"/>
      <c r="N44" s="413"/>
    </row>
    <row r="45" spans="3:14">
      <c r="E45" s="415"/>
      <c r="I45" s="415"/>
      <c r="J45" s="413"/>
      <c r="K45" s="413"/>
      <c r="L45" s="417"/>
      <c r="M45" s="413"/>
      <c r="N45" s="413"/>
    </row>
    <row r="46" spans="3:14">
      <c r="E46" s="415"/>
      <c r="I46" s="415"/>
      <c r="J46" s="413"/>
      <c r="K46" s="413"/>
      <c r="L46" s="417"/>
      <c r="M46" s="413"/>
      <c r="N46" s="413"/>
    </row>
    <row r="47" spans="3:14">
      <c r="E47" s="415"/>
      <c r="I47" s="415"/>
      <c r="J47" s="413"/>
      <c r="K47" s="413"/>
      <c r="L47" s="417"/>
      <c r="M47" s="413"/>
      <c r="N47" s="413"/>
    </row>
    <row r="48" spans="3:14">
      <c r="E48" s="415"/>
      <c r="I48" s="415"/>
      <c r="J48" s="413"/>
      <c r="K48" s="413"/>
      <c r="L48" s="417"/>
      <c r="M48" s="413"/>
      <c r="N48" s="413"/>
    </row>
    <row r="49" spans="5:16">
      <c r="E49" s="415"/>
      <c r="I49" s="415"/>
      <c r="J49" s="413"/>
      <c r="K49" s="413"/>
      <c r="L49" s="417"/>
      <c r="M49" s="413"/>
      <c r="N49" s="413"/>
    </row>
    <row r="50" spans="5:16">
      <c r="J50" s="413"/>
      <c r="K50" s="413"/>
      <c r="L50" s="417"/>
      <c r="M50" s="413"/>
      <c r="N50" s="413"/>
    </row>
    <row r="51" spans="5:16">
      <c r="E51" s="415"/>
      <c r="F51" s="418"/>
      <c r="G51" s="418"/>
      <c r="H51" s="418"/>
      <c r="I51" s="415"/>
      <c r="J51" s="413"/>
      <c r="K51" s="413"/>
      <c r="L51" s="417"/>
      <c r="M51" s="413"/>
      <c r="N51" s="413"/>
    </row>
    <row r="52" spans="5:16">
      <c r="E52" s="415"/>
      <c r="I52" s="415"/>
      <c r="J52" s="413"/>
      <c r="K52" s="413"/>
      <c r="L52" s="417"/>
      <c r="M52" s="413"/>
      <c r="N52" s="413"/>
    </row>
    <row r="53" spans="5:16">
      <c r="E53" s="415"/>
      <c r="I53" s="415"/>
      <c r="J53" s="413"/>
      <c r="K53" s="413"/>
      <c r="L53" s="417"/>
      <c r="M53" s="413"/>
      <c r="N53" s="413"/>
    </row>
    <row r="54" spans="5:16">
      <c r="E54" s="415"/>
      <c r="I54" s="415"/>
      <c r="J54" s="406"/>
      <c r="K54" s="406"/>
      <c r="L54" s="406"/>
      <c r="M54" s="406"/>
      <c r="N54" s="406"/>
    </row>
    <row r="55" spans="5:16">
      <c r="E55" s="415"/>
      <c r="I55" s="415"/>
      <c r="J55" s="413"/>
      <c r="K55" s="413"/>
      <c r="L55" s="417"/>
      <c r="M55" s="413"/>
      <c r="N55" s="413"/>
    </row>
    <row r="56" spans="5:16">
      <c r="E56" s="415"/>
      <c r="I56" s="415"/>
      <c r="J56" s="413"/>
      <c r="K56" s="413"/>
      <c r="L56" s="417"/>
      <c r="M56" s="413"/>
      <c r="N56" s="413"/>
    </row>
    <row r="57" spans="5:16">
      <c r="E57" s="415"/>
      <c r="I57" s="415"/>
      <c r="J57" s="406"/>
      <c r="K57" s="406"/>
      <c r="L57" s="406"/>
      <c r="M57" s="406"/>
      <c r="N57" s="406"/>
    </row>
    <row r="58" spans="5:16">
      <c r="E58" s="415"/>
      <c r="I58" s="415"/>
      <c r="J58" s="413"/>
      <c r="K58" s="413"/>
      <c r="L58" s="416"/>
      <c r="M58" s="413"/>
      <c r="N58" s="413"/>
    </row>
    <row r="59" spans="5:16">
      <c r="E59" s="415"/>
      <c r="I59" s="415"/>
      <c r="J59" s="138"/>
      <c r="K59" s="138"/>
      <c r="L59" s="138"/>
      <c r="M59" s="138"/>
      <c r="N59" s="138"/>
      <c r="O59" s="138"/>
      <c r="P59" s="138"/>
    </row>
    <row r="60" spans="5:16">
      <c r="E60" s="415"/>
      <c r="I60" s="415"/>
      <c r="J60" s="138"/>
      <c r="K60" s="138"/>
      <c r="L60" s="138"/>
      <c r="M60" s="138"/>
      <c r="N60" s="138"/>
      <c r="O60" s="138"/>
      <c r="P60" s="138"/>
    </row>
    <row r="61" spans="5:16">
      <c r="E61" s="415"/>
      <c r="I61" s="415"/>
      <c r="J61" s="138"/>
      <c r="K61" s="138"/>
      <c r="L61" s="138"/>
      <c r="M61" s="138"/>
      <c r="N61" s="138"/>
      <c r="O61" s="138"/>
      <c r="P61" s="138"/>
    </row>
    <row r="62" spans="5:16">
      <c r="E62" s="415"/>
      <c r="I62" s="415"/>
      <c r="J62" s="138"/>
      <c r="K62" s="138"/>
      <c r="L62" s="138"/>
      <c r="M62" s="138"/>
      <c r="N62" s="138"/>
      <c r="O62" s="138"/>
      <c r="P62" s="138"/>
    </row>
    <row r="63" spans="5:16">
      <c r="E63" s="415"/>
      <c r="I63" s="415"/>
      <c r="J63" s="138"/>
      <c r="K63" s="138"/>
      <c r="L63" s="138"/>
      <c r="M63" s="138"/>
      <c r="N63" s="138"/>
      <c r="O63" s="138"/>
      <c r="P63" s="138"/>
    </row>
    <row r="64" spans="5:16">
      <c r="E64" s="415"/>
      <c r="I64" s="415"/>
      <c r="J64" s="138"/>
      <c r="K64" s="138"/>
      <c r="L64" s="138"/>
      <c r="M64" s="138"/>
      <c r="N64" s="138"/>
      <c r="O64" s="138"/>
      <c r="P64" s="138"/>
    </row>
    <row r="65" spans="5:16">
      <c r="E65" s="415"/>
      <c r="I65" s="415"/>
      <c r="J65" s="138"/>
      <c r="K65" s="138"/>
      <c r="L65" s="138"/>
      <c r="M65" s="138"/>
      <c r="N65" s="138"/>
      <c r="O65" s="138"/>
      <c r="P65" s="138"/>
    </row>
    <row r="66" spans="5:16">
      <c r="E66" s="415"/>
      <c r="I66" s="415"/>
      <c r="J66" s="138"/>
      <c r="K66" s="138"/>
      <c r="L66" s="138"/>
      <c r="M66" s="138"/>
      <c r="N66" s="138"/>
      <c r="O66" s="138"/>
      <c r="P66" s="138"/>
    </row>
    <row r="67" spans="5:16">
      <c r="E67" s="415"/>
      <c r="I67" s="415"/>
      <c r="J67" s="138"/>
      <c r="K67" s="138"/>
      <c r="L67" s="138"/>
      <c r="M67" s="138"/>
      <c r="N67" s="138"/>
      <c r="O67" s="138"/>
      <c r="P67" s="138"/>
    </row>
    <row r="68" spans="5:16">
      <c r="E68" s="415"/>
      <c r="I68" s="415"/>
      <c r="J68" s="138"/>
      <c r="K68" s="138"/>
      <c r="L68" s="138"/>
      <c r="M68" s="138"/>
      <c r="N68" s="138"/>
      <c r="O68" s="138"/>
      <c r="P68" s="138"/>
    </row>
    <row r="69" spans="5:16">
      <c r="E69" s="415"/>
      <c r="I69" s="415"/>
    </row>
    <row r="70" spans="5:16">
      <c r="E70" s="415"/>
      <c r="I70" s="415"/>
    </row>
    <row r="71" spans="5:16">
      <c r="E71" s="415"/>
      <c r="I71" s="415"/>
    </row>
    <row r="72" spans="5:16">
      <c r="E72" s="415"/>
      <c r="I72" s="415"/>
    </row>
    <row r="73" spans="5:16">
      <c r="E73" s="415"/>
      <c r="I73" s="415"/>
    </row>
  </sheetData>
  <mergeCells count="1">
    <mergeCell ref="F6:G6"/>
  </mergeCells>
  <conditionalFormatting sqref="J9:N21 K23:K30 L23:N29 J23:J29">
    <cfRule type="cellIs" dxfId="116" priority="6" operator="notEqual">
      <formula>0</formula>
    </cfRule>
  </conditionalFormatting>
  <conditionalFormatting sqref="E51:E73">
    <cfRule type="cellIs" dxfId="115" priority="5" operator="notEqual">
      <formula>0</formula>
    </cfRule>
  </conditionalFormatting>
  <conditionalFormatting sqref="E32:E49">
    <cfRule type="cellIs" dxfId="114" priority="4" operator="notEqual">
      <formula>0</formula>
    </cfRule>
  </conditionalFormatting>
  <conditionalFormatting sqref="J22:N22">
    <cfRule type="cellIs" dxfId="113" priority="3" operator="notEqual">
      <formula>0</formula>
    </cfRule>
  </conditionalFormatting>
  <conditionalFormatting sqref="I51:I73">
    <cfRule type="cellIs" dxfId="112" priority="2" operator="notEqual">
      <formula>0</formula>
    </cfRule>
  </conditionalFormatting>
  <conditionalFormatting sqref="I32:I49">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E7 H7" numberStoredAsText="1"/>
    <ignoredError sqref="D6" unlockedFormula="1"/>
    <ignoredError sqref="D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Y269"/>
  <sheetViews>
    <sheetView showGridLines="0" zoomScaleNormal="100" zoomScaleSheetLayoutView="100" workbookViewId="0">
      <selection activeCell="B2" sqref="B2"/>
    </sheetView>
  </sheetViews>
  <sheetFormatPr defaultColWidth="9.140625" defaultRowHeight="11.25"/>
  <cols>
    <col min="1" max="1" width="2.42578125" style="435" customWidth="1"/>
    <col min="2" max="2" width="4.42578125" style="435" customWidth="1"/>
    <col min="3" max="3" width="56.5703125" style="435" customWidth="1"/>
    <col min="4" max="6" width="9.5703125" style="435" customWidth="1"/>
    <col min="7" max="13" width="8.5703125" style="435" customWidth="1"/>
    <col min="14" max="16384" width="9.140625" style="435"/>
  </cols>
  <sheetData>
    <row r="1" spans="2:17" s="4" customFormat="1" ht="15" customHeight="1">
      <c r="B1" s="436"/>
      <c r="G1" s="437"/>
      <c r="H1" s="437"/>
    </row>
    <row r="2" spans="2:17" ht="24" customHeight="1">
      <c r="B2" s="8"/>
      <c r="C2" s="336" t="str">
        <f>IF(Indice_index!$Z$1=1,"17 - Execução Financeira Consolidada do Serviço Nacional de Saúde","17 - National Health Service Consolidated Financial Execution")</f>
        <v>17 - National Health Service Consolidated Financial Execution</v>
      </c>
      <c r="D2" s="336"/>
      <c r="E2" s="336"/>
      <c r="F2" s="336"/>
      <c r="G2" s="336"/>
      <c r="H2" s="336"/>
    </row>
    <row r="3" spans="2:17" s="433" customFormat="1" ht="15" customHeight="1">
      <c r="B3" s="437"/>
      <c r="C3" s="438"/>
      <c r="G3" s="437"/>
      <c r="H3" s="437"/>
    </row>
    <row r="4" spans="2:17" s="433" customFormat="1" ht="15" customHeight="1">
      <c r="B4" s="437"/>
      <c r="C4" s="439"/>
      <c r="G4" s="437"/>
      <c r="H4" s="437"/>
    </row>
    <row r="5" spans="2:17" s="441" customFormat="1" ht="15" customHeight="1">
      <c r="B5" s="440"/>
      <c r="C5" s="1056" t="str">
        <f>+'5 - Conta AC + SS'!C5</f>
        <v>Period: January to May</v>
      </c>
      <c r="D5" s="1589"/>
      <c r="E5" s="1589"/>
      <c r="F5" s="1589"/>
      <c r="G5" s="1613"/>
      <c r="H5" s="1614" t="str">
        <f>IF(Indice_index!$Z$1=1,"€ Milhões","€ Millions")</f>
        <v>€ Millions</v>
      </c>
    </row>
    <row r="6" spans="2:17" s="433" customFormat="1" ht="27.75" customHeight="1">
      <c r="B6" s="437"/>
      <c r="C6" s="1590"/>
      <c r="D6" s="1591" t="str">
        <f>IF(Indice_index!$Z$1=1,"Execução Provisória","Provisional execution")</f>
        <v>Provisional execution</v>
      </c>
      <c r="E6" s="1732" t="str">
        <f>IF(Indice_index!$Z$1=1,"Execução Acumulada","Accumulated Execution")</f>
        <v>Accumulated Execution</v>
      </c>
      <c r="F6" s="1732"/>
      <c r="G6" s="1733" t="str">
        <f>IF(Indice_index!$Z$1=1,"Variação Homóloga Acumulada","YOY Change Rate")</f>
        <v>YOY Change Rate</v>
      </c>
      <c r="H6" s="1734"/>
      <c r="J6" s="138"/>
      <c r="K6" s="138"/>
      <c r="L6" s="138"/>
    </row>
    <row r="7" spans="2:17" s="433" customFormat="1" ht="22.5">
      <c r="B7" s="437"/>
      <c r="C7" s="1592"/>
      <c r="D7" s="1593">
        <v>2021</v>
      </c>
      <c r="E7" s="1593">
        <v>2021</v>
      </c>
      <c r="F7" s="1593">
        <v>2022</v>
      </c>
      <c r="G7" s="1615" t="str">
        <f>IF(Indice_index!$Z$1=1,"TVH (%)","YOY Change Rate (%)")</f>
        <v>YOY Change Rate (%)</v>
      </c>
      <c r="H7" s="1616" t="str">
        <f>IF(Indice_index!$Z$1=1,"Contributo VH (p.p.)","YOY Change Contrib. (p.p.)")</f>
        <v>YOY Change Contrib. (p.p.)</v>
      </c>
      <c r="J7" s="138"/>
      <c r="K7" s="138"/>
      <c r="L7" s="138"/>
    </row>
    <row r="8" spans="2:17" s="404" customFormat="1" ht="4.5" customHeight="1">
      <c r="C8" s="1063"/>
      <c r="D8" s="405"/>
      <c r="E8" s="405"/>
      <c r="G8" s="4"/>
      <c r="I8" s="473"/>
    </row>
    <row r="9" spans="2:17" s="441" customFormat="1" ht="15" customHeight="1">
      <c r="B9" s="440"/>
      <c r="C9" s="1594" t="str">
        <f>IF(Indice_index!$Z$1=1,"Receita corrente","Current revenue")</f>
        <v>Current revenue</v>
      </c>
      <c r="D9" s="1595">
        <v>11210.546105580001</v>
      </c>
      <c r="E9" s="1595">
        <v>4523.5</v>
      </c>
      <c r="F9" s="1595">
        <v>4780.6000000000004</v>
      </c>
      <c r="G9" s="1617">
        <f t="shared" ref="G9:G15" si="0">IF(E9=0,"-",((F9/E9)-1)*100)</f>
        <v>5.6836520393500622</v>
      </c>
      <c r="H9" s="1617">
        <f t="shared" ref="H9:H15" si="1">IFERROR((F9-E9)/$E$17*100,"-")</f>
        <v>5.6556457467168304</v>
      </c>
      <c r="I9" s="442"/>
      <c r="J9" s="442"/>
      <c r="K9" s="442"/>
      <c r="L9" s="442"/>
      <c r="M9" s="442"/>
      <c r="N9" s="442"/>
      <c r="O9" s="442"/>
      <c r="P9" s="442"/>
      <c r="Q9" s="442"/>
    </row>
    <row r="10" spans="2:17" s="433" customFormat="1" ht="15" customHeight="1">
      <c r="B10" s="437"/>
      <c r="C10" s="1596" t="str">
        <f>IF(Indice_index!$Z$1=1,"Receita fiscal","Tax")</f>
        <v>Tax</v>
      </c>
      <c r="D10" s="1597">
        <v>105.4</v>
      </c>
      <c r="E10" s="1597">
        <v>27.3</v>
      </c>
      <c r="F10" s="1597">
        <v>55.3</v>
      </c>
      <c r="G10" s="1618">
        <f t="shared" si="0"/>
        <v>102.56410256410255</v>
      </c>
      <c r="H10" s="1619">
        <f t="shared" si="1"/>
        <v>0.61593963791548423</v>
      </c>
      <c r="I10" s="443"/>
      <c r="J10" s="443"/>
      <c r="K10" s="443"/>
      <c r="L10" s="443"/>
      <c r="M10" s="443"/>
      <c r="N10" s="443"/>
      <c r="O10" s="443"/>
      <c r="P10" s="443"/>
      <c r="Q10" s="443"/>
    </row>
    <row r="11" spans="2:17" s="433" customFormat="1" ht="15" customHeight="1">
      <c r="B11" s="437"/>
      <c r="C11" s="1598" t="str">
        <f>IF(Indice_index!$Z$1=1,"Impostos diretos","Direct taxes")</f>
        <v>Direct taxes</v>
      </c>
      <c r="D11" s="1597">
        <v>0</v>
      </c>
      <c r="E11" s="1597">
        <v>0</v>
      </c>
      <c r="F11" s="1597">
        <v>0</v>
      </c>
      <c r="G11" s="1618" t="str">
        <f t="shared" si="0"/>
        <v>-</v>
      </c>
      <c r="H11" s="1619">
        <f t="shared" si="1"/>
        <v>0</v>
      </c>
      <c r="I11" s="443"/>
      <c r="J11" s="443"/>
      <c r="K11" s="443"/>
      <c r="L11" s="443"/>
      <c r="M11" s="443"/>
      <c r="N11" s="443"/>
      <c r="O11" s="443"/>
      <c r="P11" s="443"/>
      <c r="Q11" s="443"/>
    </row>
    <row r="12" spans="2:17" s="433" customFormat="1" ht="15" customHeight="1">
      <c r="B12" s="437"/>
      <c r="C12" s="1598" t="str">
        <f>IF(Indice_index!$Z$1=1,"Impostos indiretos","Indirect taxes")</f>
        <v>Indirect taxes</v>
      </c>
      <c r="D12" s="1597">
        <v>105.4</v>
      </c>
      <c r="E12" s="1597">
        <v>27.3</v>
      </c>
      <c r="F12" s="1597">
        <v>55.3</v>
      </c>
      <c r="G12" s="1618">
        <f t="shared" si="0"/>
        <v>102.56410256410255</v>
      </c>
      <c r="H12" s="1619">
        <f t="shared" si="1"/>
        <v>0.61593963791548423</v>
      </c>
      <c r="I12" s="443"/>
      <c r="J12" s="443"/>
      <c r="K12" s="443"/>
      <c r="L12" s="443"/>
      <c r="M12" s="443"/>
      <c r="N12" s="443"/>
      <c r="O12" s="443"/>
      <c r="P12" s="443"/>
      <c r="Q12" s="443"/>
    </row>
    <row r="13" spans="2:17" s="433" customFormat="1" ht="15" customHeight="1">
      <c r="B13" s="437"/>
      <c r="C13" s="968" t="str">
        <f>IF(Indice_index!$Z$1=1,"Contribuições de Segurança Social","Social security contributions")</f>
        <v>Social security contributions</v>
      </c>
      <c r="D13" s="1599">
        <v>0</v>
      </c>
      <c r="E13" s="1599">
        <v>0</v>
      </c>
      <c r="F13" s="1599">
        <v>0</v>
      </c>
      <c r="G13" s="1618" t="str">
        <f t="shared" si="0"/>
        <v>-</v>
      </c>
      <c r="H13" s="1619">
        <f t="shared" si="1"/>
        <v>0</v>
      </c>
      <c r="I13" s="443"/>
      <c r="J13" s="443"/>
      <c r="K13" s="443"/>
      <c r="L13" s="443"/>
      <c r="M13" s="443"/>
      <c r="N13" s="443"/>
      <c r="O13" s="443"/>
      <c r="P13" s="443"/>
      <c r="Q13" s="443"/>
    </row>
    <row r="14" spans="2:17" s="433" customFormat="1" ht="15" customHeight="1">
      <c r="B14" s="437"/>
      <c r="C14" s="968" t="str">
        <f>IF(Indice_index!$Z$1=1,"Outras receitas correntes","Other current revenue")</f>
        <v>Other current revenue</v>
      </c>
      <c r="D14" s="1597">
        <v>11105.146105580001</v>
      </c>
      <c r="E14" s="1597">
        <v>4496.2</v>
      </c>
      <c r="F14" s="1597">
        <v>4725.3</v>
      </c>
      <c r="G14" s="1619">
        <f t="shared" si="0"/>
        <v>5.0954139050753966</v>
      </c>
      <c r="H14" s="1619">
        <f t="shared" si="1"/>
        <v>5.0397061088013455</v>
      </c>
      <c r="I14" s="443"/>
      <c r="J14" s="443"/>
      <c r="K14" s="443"/>
      <c r="L14" s="443"/>
      <c r="M14" s="443"/>
      <c r="N14" s="443"/>
      <c r="O14" s="443"/>
      <c r="P14" s="443"/>
      <c r="Q14" s="443"/>
    </row>
    <row r="15" spans="2:17" s="441" customFormat="1" ht="15" customHeight="1">
      <c r="B15" s="440"/>
      <c r="C15" s="1594" t="str">
        <f>IF(Indice_index!$Z$1=1,"Receita de capital","Capital revenue")</f>
        <v>Capital revenue</v>
      </c>
      <c r="D15" s="1600">
        <v>76.199999999999989</v>
      </c>
      <c r="E15" s="1600">
        <v>22.400000000000002</v>
      </c>
      <c r="F15" s="1600">
        <v>10.9</v>
      </c>
      <c r="G15" s="1620">
        <f t="shared" si="0"/>
        <v>-51.339285714285722</v>
      </c>
      <c r="H15" s="1617">
        <f t="shared" si="1"/>
        <v>-0.25297520842957399</v>
      </c>
      <c r="I15" s="442"/>
      <c r="J15" s="442"/>
      <c r="K15" s="442"/>
      <c r="L15" s="442"/>
      <c r="M15" s="442"/>
      <c r="N15" s="442"/>
      <c r="O15" s="442"/>
      <c r="P15" s="442"/>
      <c r="Q15" s="442"/>
    </row>
    <row r="16" spans="2:17" s="433" customFormat="1" ht="4.5" customHeight="1">
      <c r="B16" s="437"/>
      <c r="C16" s="1601"/>
      <c r="D16" s="1597"/>
      <c r="E16" s="1597"/>
      <c r="F16" s="1597"/>
      <c r="G16" s="1617"/>
      <c r="H16" s="1617"/>
      <c r="I16" s="443"/>
      <c r="J16" s="443"/>
      <c r="K16" s="443"/>
      <c r="L16" s="443"/>
      <c r="M16" s="443"/>
      <c r="N16" s="443"/>
      <c r="O16" s="443"/>
      <c r="P16" s="443"/>
      <c r="Q16" s="443"/>
    </row>
    <row r="17" spans="2:17" s="441" customFormat="1" ht="15" customHeight="1">
      <c r="B17" s="440"/>
      <c r="C17" s="1594" t="str">
        <f>IF(Indice_index!$Z$1=1,"Receita efectiva","Effective revenue")</f>
        <v>Effective revenue</v>
      </c>
      <c r="D17" s="1600">
        <v>11286.746105580001</v>
      </c>
      <c r="E17" s="1600">
        <v>4545.8999999999996</v>
      </c>
      <c r="F17" s="1600">
        <v>4791.5</v>
      </c>
      <c r="G17" s="1617">
        <f>IF(E17=0,"-",((F17/E17)-1)*100)</f>
        <v>5.4026705382872464</v>
      </c>
      <c r="H17" s="1617"/>
      <c r="I17" s="442"/>
      <c r="J17" s="442"/>
      <c r="K17" s="442"/>
      <c r="L17" s="442"/>
      <c r="M17" s="442"/>
      <c r="N17" s="442"/>
      <c r="O17" s="442"/>
      <c r="P17" s="442"/>
      <c r="Q17" s="442"/>
    </row>
    <row r="18" spans="2:17" s="433" customFormat="1" ht="4.5" customHeight="1">
      <c r="B18" s="437"/>
      <c r="C18" s="1602"/>
      <c r="D18" s="1595"/>
      <c r="E18" s="1595"/>
      <c r="F18" s="1595"/>
      <c r="G18" s="1619"/>
      <c r="H18" s="1619"/>
      <c r="I18" s="443"/>
      <c r="J18" s="443"/>
      <c r="K18" s="443"/>
      <c r="L18" s="443"/>
      <c r="M18" s="443"/>
      <c r="N18" s="443"/>
      <c r="O18" s="443"/>
      <c r="P18" s="443"/>
      <c r="Q18" s="443"/>
    </row>
    <row r="19" spans="2:17" s="441" customFormat="1" ht="15" customHeight="1">
      <c r="B19" s="440"/>
      <c r="C19" s="1594" t="str">
        <f>IF(Indice_index!$Z$1=1,"Despesa corrente","Current expenditure")</f>
        <v>Current expenditure</v>
      </c>
      <c r="D19" s="1600">
        <v>12153.800000000001</v>
      </c>
      <c r="E19" s="1600">
        <v>4858.1000000000004</v>
      </c>
      <c r="F19" s="1600">
        <v>5191.1000000000004</v>
      </c>
      <c r="G19" s="1617">
        <f t="shared" ref="G19:G36" si="2">IF(E19=0,"-",((F19/E19)-1)*100)</f>
        <v>6.854531607006864</v>
      </c>
      <c r="H19" s="1617">
        <f>IFERROR((F19-E19)/$E$38*100,"-")</f>
        <v>6.7645804131878835</v>
      </c>
      <c r="I19" s="442"/>
      <c r="J19" s="442"/>
      <c r="K19" s="442"/>
      <c r="L19" s="442"/>
      <c r="M19" s="442"/>
      <c r="N19" s="442"/>
      <c r="O19" s="442"/>
      <c r="P19" s="442"/>
      <c r="Q19" s="442"/>
    </row>
    <row r="20" spans="2:17" s="433" customFormat="1" ht="15" customHeight="1">
      <c r="B20" s="437"/>
      <c r="C20" s="968" t="str">
        <f>IF(Indice_index!$Z$1=1,"Despesas com o pessoal","Employees")</f>
        <v>Employees</v>
      </c>
      <c r="D20" s="1597">
        <v>5060.4000000000005</v>
      </c>
      <c r="E20" s="1597">
        <v>2120.9</v>
      </c>
      <c r="F20" s="1597">
        <v>2182.6</v>
      </c>
      <c r="G20" s="1619">
        <f t="shared" si="2"/>
        <v>2.9091423452307863</v>
      </c>
      <c r="H20" s="1619">
        <f>IFERROR((F20-E20)/$E$38*100,"-")</f>
        <v>1.2533772116927664</v>
      </c>
      <c r="I20" s="443"/>
      <c r="J20" s="443"/>
      <c r="K20" s="443"/>
      <c r="L20" s="443"/>
      <c r="M20" s="443"/>
      <c r="N20" s="443"/>
      <c r="O20" s="443"/>
      <c r="P20" s="443"/>
      <c r="Q20" s="443"/>
    </row>
    <row r="21" spans="2:17" s="433" customFormat="1" ht="15" customHeight="1">
      <c r="B21" s="437"/>
      <c r="C21" s="1603" t="str">
        <f>IF(Indice_index!$Z$1=1,"Remunerações Certas e Permanentes","Certain and permanent wages")</f>
        <v>Certain and permanent wages</v>
      </c>
      <c r="D21" s="1604">
        <v>3284.1</v>
      </c>
      <c r="E21" s="1604">
        <v>1376</v>
      </c>
      <c r="F21" s="1604">
        <v>1443</v>
      </c>
      <c r="G21" s="1619">
        <f t="shared" si="2"/>
        <v>4.869186046511631</v>
      </c>
      <c r="H21" s="1619">
        <f t="shared" ref="H21:H32" si="3">IFERROR((F21-E21)/$E$38*100,"-")</f>
        <v>1.3610417047555201</v>
      </c>
      <c r="I21" s="443"/>
      <c r="J21" s="443"/>
      <c r="K21" s="443"/>
      <c r="L21" s="443"/>
      <c r="M21" s="443"/>
      <c r="N21" s="443"/>
      <c r="O21" s="443"/>
      <c r="P21" s="443"/>
      <c r="Q21" s="443"/>
    </row>
    <row r="22" spans="2:17" s="433" customFormat="1" ht="15" customHeight="1">
      <c r="B22" s="437"/>
      <c r="C22" s="1603" t="str">
        <f>IF(Indice_index!$Z$1=1,"Abonos Variáveis ou Eventuais","Variable or contingent bonuses")</f>
        <v>Variable or contingent bonuses</v>
      </c>
      <c r="D22" s="1597">
        <v>843.5</v>
      </c>
      <c r="E22" s="1597">
        <v>354.8</v>
      </c>
      <c r="F22" s="1597">
        <v>338.90000000000003</v>
      </c>
      <c r="G22" s="1619">
        <f t="shared" si="2"/>
        <v>-4.4813979706877056</v>
      </c>
      <c r="H22" s="1619">
        <f t="shared" si="3"/>
        <v>-0.32299347918824983</v>
      </c>
      <c r="I22" s="443"/>
      <c r="J22" s="443"/>
      <c r="K22" s="443"/>
      <c r="L22" s="443"/>
      <c r="M22" s="443"/>
      <c r="N22" s="443"/>
      <c r="O22" s="443"/>
      <c r="P22" s="443"/>
      <c r="Q22" s="443"/>
    </row>
    <row r="23" spans="2:17" s="433" customFormat="1" ht="15" customHeight="1">
      <c r="B23" s="437"/>
      <c r="C23" s="1603" t="str">
        <f>IF(Indice_index!$Z$1=1,"Segurança social","Social security")</f>
        <v>Social security</v>
      </c>
      <c r="D23" s="1597">
        <v>932.8</v>
      </c>
      <c r="E23" s="1597">
        <v>390.1</v>
      </c>
      <c r="F23" s="1597">
        <v>400.7</v>
      </c>
      <c r="G23" s="1619">
        <f t="shared" si="2"/>
        <v>2.7172519866700773</v>
      </c>
      <c r="H23" s="1619">
        <f t="shared" si="3"/>
        <v>0.2153289861254995</v>
      </c>
      <c r="I23" s="443"/>
      <c r="J23" s="443"/>
      <c r="K23" s="443"/>
      <c r="L23" s="443"/>
      <c r="M23" s="443"/>
      <c r="N23" s="443"/>
      <c r="O23" s="443"/>
      <c r="P23" s="443"/>
      <c r="Q23" s="443"/>
    </row>
    <row r="24" spans="2:17" s="433" customFormat="1" ht="15" customHeight="1">
      <c r="B24" s="437"/>
      <c r="C24" s="968" t="str">
        <f>IF(Indice_index!$Z$1=1,"Aquisição de bens e serviços","Purchase of goods and services")</f>
        <v>Purchase of goods and services</v>
      </c>
      <c r="D24" s="1597">
        <v>6960.0999999999995</v>
      </c>
      <c r="E24" s="1597">
        <v>2663.4</v>
      </c>
      <c r="F24" s="1597">
        <v>2982</v>
      </c>
      <c r="G24" s="1619">
        <f t="shared" si="2"/>
        <v>11.962153638206807</v>
      </c>
      <c r="H24" s="1619">
        <f t="shared" si="3"/>
        <v>6.4720580169419186</v>
      </c>
      <c r="I24" s="443"/>
      <c r="J24" s="443"/>
      <c r="K24" s="443"/>
      <c r="L24" s="443"/>
      <c r="M24" s="443"/>
      <c r="N24" s="443"/>
      <c r="O24" s="443"/>
      <c r="P24" s="443"/>
      <c r="Q24" s="443"/>
    </row>
    <row r="25" spans="2:17" s="433" customFormat="1" ht="15" customHeight="1">
      <c r="B25" s="437"/>
      <c r="C25" s="1598" t="str">
        <f>IF(Indice_index!$Z$1=1,"Produtos vendidos em farmácias","Medicines")</f>
        <v>Medicines</v>
      </c>
      <c r="D25" s="1597">
        <v>1516.6</v>
      </c>
      <c r="E25" s="1597">
        <v>615.80000000000007</v>
      </c>
      <c r="F25" s="1597">
        <v>737.4</v>
      </c>
      <c r="G25" s="1619">
        <f t="shared" si="2"/>
        <v>19.746670997076965</v>
      </c>
      <c r="H25" s="1619">
        <f t="shared" si="3"/>
        <v>2.4701891238547926</v>
      </c>
      <c r="I25" s="443"/>
      <c r="J25" s="443"/>
      <c r="K25" s="443"/>
      <c r="L25" s="443"/>
      <c r="M25" s="443"/>
      <c r="N25" s="443"/>
      <c r="O25" s="443"/>
      <c r="P25" s="443"/>
      <c r="Q25" s="443"/>
    </row>
    <row r="26" spans="2:17" s="433" customFormat="1" ht="15" customHeight="1">
      <c r="B26" s="437"/>
      <c r="C26" s="1598" t="str">
        <f>IF(Indice_index!$Z$1=1,"Meios complementares de diagnóstico e terapêutica e outros subcontratos","Complementary diagnosis and therapeutic means and other subcontracts")</f>
        <v>Complementary diagnosis and therapeutic means and other subcontracts</v>
      </c>
      <c r="D26" s="1597">
        <v>1718.7999999999997</v>
      </c>
      <c r="E26" s="1597">
        <v>665.40000000000009</v>
      </c>
      <c r="F26" s="1597">
        <v>809.1</v>
      </c>
      <c r="G26" s="1619">
        <f t="shared" si="2"/>
        <v>21.596032461677183</v>
      </c>
      <c r="H26" s="1619">
        <f t="shared" si="3"/>
        <v>2.9191297458711665</v>
      </c>
      <c r="I26" s="443"/>
      <c r="J26" s="443"/>
      <c r="K26" s="443"/>
      <c r="L26" s="443"/>
      <c r="M26" s="443"/>
      <c r="N26" s="443"/>
      <c r="O26" s="443"/>
      <c r="P26" s="443"/>
      <c r="Q26" s="443"/>
    </row>
    <row r="27" spans="2:17" s="433" customFormat="1" ht="15" customHeight="1">
      <c r="B27" s="437"/>
      <c r="C27" s="1598" t="str">
        <f>IF(Indice_index!$Z$1=1,"Parcerias público-privadas (PPP)","Public-Private Partnerships (PPP)")</f>
        <v>Public-Private Partnerships (PPP)</v>
      </c>
      <c r="D27" s="1597">
        <v>263.39999999999998</v>
      </c>
      <c r="E27" s="1597">
        <v>126.1</v>
      </c>
      <c r="F27" s="1597">
        <v>57.4</v>
      </c>
      <c r="G27" s="1619">
        <f t="shared" si="2"/>
        <v>-54.480570975416342</v>
      </c>
      <c r="H27" s="1619">
        <f t="shared" si="3"/>
        <v>-1.3955755987567793</v>
      </c>
      <c r="I27" s="443"/>
      <c r="J27" s="443"/>
      <c r="K27" s="443"/>
      <c r="L27" s="443"/>
      <c r="M27" s="443"/>
      <c r="N27" s="443"/>
      <c r="O27" s="443"/>
      <c r="P27" s="443"/>
      <c r="Q27" s="443"/>
    </row>
    <row r="28" spans="2:17" s="433" customFormat="1" ht="15" customHeight="1">
      <c r="B28" s="437"/>
      <c r="C28" s="1598" t="str">
        <f>IF(Indice_index!$Z$1=1,"Aquisição de bens (compras inventários)","Purchase of goods (inventories)")</f>
        <v>Purchase of goods (inventories)</v>
      </c>
      <c r="D28" s="1597">
        <v>2421</v>
      </c>
      <c r="E28" s="1597">
        <v>867.9</v>
      </c>
      <c r="F28" s="1597">
        <v>915.19999999999993</v>
      </c>
      <c r="G28" s="1619">
        <f t="shared" si="2"/>
        <v>5.4499366286438589</v>
      </c>
      <c r="H28" s="1619">
        <f t="shared" si="3"/>
        <v>0.96085481544680662</v>
      </c>
      <c r="I28" s="443"/>
      <c r="J28" s="443"/>
      <c r="K28" s="443"/>
      <c r="L28" s="443"/>
      <c r="M28" s="443"/>
      <c r="N28" s="443"/>
      <c r="O28" s="443"/>
      <c r="P28" s="443"/>
      <c r="Q28" s="443"/>
    </row>
    <row r="29" spans="2:17" s="433" customFormat="1" ht="15" customHeight="1">
      <c r="B29" s="437"/>
      <c r="C29" s="1598" t="str">
        <f>IF(Indice_index!$Z$1=1,"Outras aquisições de bens e serviços","Other acquisitions of goods and services")</f>
        <v>Other acquisitions of goods and services</v>
      </c>
      <c r="D29" s="1597">
        <v>1040.3</v>
      </c>
      <c r="E29" s="1597">
        <v>388.2</v>
      </c>
      <c r="F29" s="1597">
        <v>462.9</v>
      </c>
      <c r="G29" s="1619">
        <f t="shared" si="2"/>
        <v>19.24265842349304</v>
      </c>
      <c r="H29" s="1619">
        <f t="shared" si="3"/>
        <v>1.5174599305259304</v>
      </c>
      <c r="I29" s="443"/>
      <c r="J29" s="443"/>
      <c r="K29" s="443"/>
      <c r="L29" s="443"/>
      <c r="M29" s="443"/>
      <c r="N29" s="443"/>
      <c r="O29" s="443"/>
      <c r="P29" s="443"/>
      <c r="Q29" s="443"/>
    </row>
    <row r="30" spans="2:17" s="433" customFormat="1" ht="15" customHeight="1">
      <c r="B30" s="437"/>
      <c r="C30" s="968" t="str">
        <f>IF(Indice_index!$Z$1=1,"Juros e outros encargos","Interests and other charges")</f>
        <v>Interests and other charges</v>
      </c>
      <c r="D30" s="1597">
        <v>2.2000000000000002</v>
      </c>
      <c r="E30" s="1597">
        <v>0.8</v>
      </c>
      <c r="F30" s="1597">
        <v>0.7</v>
      </c>
      <c r="G30" s="1618">
        <f t="shared" si="2"/>
        <v>-12.500000000000011</v>
      </c>
      <c r="H30" s="1619">
        <f t="shared" si="3"/>
        <v>-2.0314055294858527E-3</v>
      </c>
      <c r="I30" s="443"/>
      <c r="J30" s="443"/>
      <c r="K30" s="443"/>
      <c r="L30" s="443"/>
      <c r="M30" s="443"/>
      <c r="N30" s="443"/>
      <c r="O30" s="443"/>
      <c r="P30" s="443"/>
      <c r="Q30" s="443"/>
    </row>
    <row r="31" spans="2:17" s="433" customFormat="1" ht="15" customHeight="1">
      <c r="B31" s="437"/>
      <c r="C31" s="968" t="str">
        <f>IF(Indice_index!$Z$1=1,"Transferências correntes","Current transfers")</f>
        <v>Current transfers</v>
      </c>
      <c r="D31" s="1597">
        <v>127.9</v>
      </c>
      <c r="E31" s="1597">
        <v>70.099999999999994</v>
      </c>
      <c r="F31" s="1597">
        <v>24.5</v>
      </c>
      <c r="G31" s="1618">
        <f t="shared" si="2"/>
        <v>-65.049928673323819</v>
      </c>
      <c r="H31" s="1619">
        <f t="shared" si="3"/>
        <v>-0.9263209214455479</v>
      </c>
      <c r="I31" s="443"/>
      <c r="J31" s="443"/>
      <c r="K31" s="443"/>
      <c r="L31" s="443"/>
      <c r="M31" s="443"/>
      <c r="N31" s="443"/>
      <c r="O31" s="443"/>
      <c r="P31" s="443"/>
      <c r="Q31" s="443"/>
    </row>
    <row r="32" spans="2:17" s="433" customFormat="1" ht="15" customHeight="1">
      <c r="B32" s="437"/>
      <c r="C32" s="968" t="str">
        <f>IF(Indice_index!$Z$1=1,"Outras despesas correntes","Other current expenditures")</f>
        <v>Other current expenditures</v>
      </c>
      <c r="D32" s="1597">
        <v>3.2</v>
      </c>
      <c r="E32" s="1597">
        <v>2.9</v>
      </c>
      <c r="F32" s="1597">
        <v>1.3</v>
      </c>
      <c r="G32" s="1619">
        <f t="shared" si="2"/>
        <v>-55.172413793103445</v>
      </c>
      <c r="H32" s="1619">
        <f t="shared" si="3"/>
        <v>-3.2502488471773609E-2</v>
      </c>
      <c r="I32" s="443"/>
      <c r="J32" s="443"/>
      <c r="K32" s="443"/>
      <c r="L32" s="443"/>
      <c r="M32" s="443"/>
      <c r="N32" s="443"/>
      <c r="O32" s="443"/>
      <c r="P32" s="443"/>
      <c r="Q32" s="443"/>
    </row>
    <row r="33" spans="2:25" s="441" customFormat="1" ht="15" customHeight="1">
      <c r="B33" s="440"/>
      <c r="C33" s="1594" t="str">
        <f>IF(Indice_index!$Z$1=1,"Despesa de capital","Capital expenditure")</f>
        <v>Capital expenditure</v>
      </c>
      <c r="D33" s="1605">
        <v>233</v>
      </c>
      <c r="E33" s="1605">
        <v>64.599999999999994</v>
      </c>
      <c r="F33" s="1605">
        <v>45.199999999999996</v>
      </c>
      <c r="G33" s="1620">
        <f t="shared" si="2"/>
        <v>-30.030959752321984</v>
      </c>
      <c r="H33" s="1617">
        <f>IFERROR((F33-E33)/$E$38*100,"-")</f>
        <v>-0.39409267272025506</v>
      </c>
      <c r="I33" s="442"/>
      <c r="J33" s="442"/>
      <c r="K33" s="442"/>
      <c r="L33" s="442"/>
      <c r="M33" s="442"/>
      <c r="N33" s="442"/>
      <c r="O33" s="442"/>
      <c r="P33" s="442"/>
      <c r="Q33" s="442"/>
    </row>
    <row r="34" spans="2:25" s="433" customFormat="1" ht="15" customHeight="1">
      <c r="B34" s="437"/>
      <c r="C34" s="968" t="str">
        <f>IF(Indice_index!$Z$1=1,"Investimentos","Investments")</f>
        <v>Investments</v>
      </c>
      <c r="D34" s="1597">
        <v>232.4</v>
      </c>
      <c r="E34" s="1597">
        <v>64.5</v>
      </c>
      <c r="F34" s="1597">
        <v>44.9</v>
      </c>
      <c r="G34" s="1618">
        <f t="shared" si="2"/>
        <v>-30.38759689922481</v>
      </c>
      <c r="H34" s="1619">
        <f>IFERROR((F34-E34)/$E$38*100,"-")</f>
        <v>-0.39815548377922677</v>
      </c>
      <c r="I34" s="443"/>
      <c r="J34" s="443"/>
      <c r="K34" s="443"/>
      <c r="L34" s="443"/>
      <c r="M34" s="443"/>
      <c r="N34" s="443"/>
      <c r="O34" s="443"/>
      <c r="P34" s="443"/>
      <c r="Q34" s="443"/>
    </row>
    <row r="35" spans="2:25" s="433" customFormat="1" ht="15" customHeight="1">
      <c r="B35" s="444"/>
      <c r="C35" s="968" t="str">
        <f>IF(Indice_index!$Z$1=1,"Transferências de capital","Capital transfers")</f>
        <v>Capital transfers</v>
      </c>
      <c r="D35" s="1597">
        <v>0.6</v>
      </c>
      <c r="E35" s="1597">
        <v>0.1</v>
      </c>
      <c r="F35" s="1597">
        <v>0.3</v>
      </c>
      <c r="G35" s="1618">
        <f t="shared" si="2"/>
        <v>199.99999999999994</v>
      </c>
      <c r="H35" s="1619">
        <f t="shared" ref="H35:H36" si="4">IFERROR((F35-E35)/$E$38*100,"-")</f>
        <v>4.0628110589717012E-3</v>
      </c>
      <c r="I35" s="443"/>
      <c r="J35" s="443"/>
      <c r="K35" s="443"/>
      <c r="L35" s="443"/>
      <c r="M35" s="443"/>
      <c r="N35" s="443"/>
      <c r="O35" s="443"/>
      <c r="P35" s="443"/>
      <c r="Q35" s="443"/>
    </row>
    <row r="36" spans="2:25" s="433" customFormat="1" ht="15" customHeight="1">
      <c r="B36" s="437"/>
      <c r="C36" s="968" t="str">
        <f>IF(Indice_index!$Z$1=1,"Outras despesas de capital","Other capital expenditures")</f>
        <v>Other capital expenditures</v>
      </c>
      <c r="D36" s="1606">
        <v>0</v>
      </c>
      <c r="E36" s="1606">
        <v>0</v>
      </c>
      <c r="F36" s="1606">
        <v>0</v>
      </c>
      <c r="G36" s="1621" t="str">
        <f t="shared" si="2"/>
        <v>-</v>
      </c>
      <c r="H36" s="1619">
        <f t="shared" si="4"/>
        <v>0</v>
      </c>
      <c r="I36" s="443"/>
      <c r="J36" s="443"/>
      <c r="K36" s="443"/>
      <c r="L36" s="443"/>
      <c r="M36" s="443"/>
      <c r="N36" s="443"/>
      <c r="O36" s="443"/>
      <c r="P36" s="443"/>
      <c r="Q36" s="443"/>
    </row>
    <row r="37" spans="2:25" s="433" customFormat="1" ht="4.5" customHeight="1">
      <c r="B37" s="437"/>
      <c r="C37" s="1607"/>
      <c r="D37" s="1595"/>
      <c r="E37" s="1595"/>
      <c r="F37" s="1595"/>
      <c r="G37" s="1618"/>
      <c r="H37" s="1618"/>
      <c r="I37" s="443"/>
      <c r="J37" s="443"/>
      <c r="K37" s="443"/>
      <c r="L37" s="443"/>
      <c r="M37" s="443"/>
      <c r="N37" s="443"/>
      <c r="O37" s="443"/>
      <c r="P37" s="443"/>
      <c r="Q37" s="443"/>
    </row>
    <row r="38" spans="2:25" s="441" customFormat="1" ht="15" customHeight="1">
      <c r="B38" s="440"/>
      <c r="C38" s="1594" t="str">
        <f>IF(Indice_index!$Z$1=1,"Despesa efectiva","Effective expenditure")</f>
        <v>Effective expenditure</v>
      </c>
      <c r="D38" s="1608">
        <v>12386.800000000001</v>
      </c>
      <c r="E38" s="1608">
        <v>4922.7000000000007</v>
      </c>
      <c r="F38" s="1608">
        <v>5236.3</v>
      </c>
      <c r="G38" s="1622">
        <f>IF(E38=0,"-",((F38/E38)-1)*100)</f>
        <v>6.370487740467623</v>
      </c>
      <c r="H38" s="1622"/>
      <c r="I38" s="442"/>
      <c r="J38" s="442"/>
      <c r="K38" s="442"/>
      <c r="L38" s="442"/>
      <c r="M38" s="442"/>
      <c r="N38" s="442"/>
      <c r="O38" s="442"/>
      <c r="P38" s="442"/>
      <c r="Q38" s="442"/>
    </row>
    <row r="39" spans="2:25" s="433" customFormat="1" ht="4.5" customHeight="1">
      <c r="B39" s="437"/>
      <c r="C39" s="1609"/>
      <c r="D39" s="1608"/>
      <c r="E39" s="1608"/>
      <c r="F39" s="1608"/>
      <c r="G39" s="1622"/>
      <c r="H39" s="1622"/>
      <c r="I39" s="443"/>
      <c r="J39" s="443"/>
      <c r="K39" s="443"/>
      <c r="L39" s="443"/>
      <c r="M39" s="443"/>
      <c r="N39" s="443"/>
      <c r="O39" s="443"/>
      <c r="P39" s="443"/>
      <c r="Q39" s="443"/>
    </row>
    <row r="40" spans="2:25" s="441" customFormat="1" ht="15" customHeight="1">
      <c r="B40" s="440"/>
      <c r="C40" s="1610" t="str">
        <f>IF(Indice_index!$Z$1=1,"Saldo global","Overall balance")</f>
        <v>Overall balance</v>
      </c>
      <c r="D40" s="1611">
        <v>-1100.0538944199998</v>
      </c>
      <c r="E40" s="1611">
        <v>-376.80000000000109</v>
      </c>
      <c r="F40" s="1611">
        <v>-444.80000000000018</v>
      </c>
      <c r="G40" s="1611"/>
      <c r="H40" s="1611"/>
      <c r="I40" s="442"/>
      <c r="J40" s="442"/>
      <c r="K40" s="442"/>
      <c r="L40" s="442"/>
      <c r="M40" s="442"/>
      <c r="N40" s="442"/>
      <c r="O40" s="442"/>
      <c r="P40" s="442"/>
      <c r="Q40" s="442"/>
    </row>
    <row r="41" spans="2:25" s="441" customFormat="1" ht="4.5" customHeight="1">
      <c r="B41" s="440"/>
      <c r="C41" s="1594"/>
      <c r="D41" s="1594"/>
      <c r="E41" s="1594"/>
      <c r="F41" s="1594"/>
      <c r="G41" s="1594"/>
      <c r="H41" s="1594"/>
      <c r="I41" s="442"/>
      <c r="J41" s="442"/>
      <c r="K41" s="442"/>
      <c r="L41" s="442"/>
      <c r="M41" s="442"/>
      <c r="N41" s="442"/>
      <c r="O41" s="442"/>
      <c r="P41" s="442"/>
      <c r="Q41" s="442"/>
    </row>
    <row r="42" spans="2:25" s="138" customFormat="1" ht="15" customHeight="1">
      <c r="C42" s="437" t="str">
        <f>IF(Indice_index!$Z$1=1,"Fonte: Administração Central do Sistema de Saúde, IP.","Source: Health System Central Administration")</f>
        <v>Source: Health System Central Administration</v>
      </c>
      <c r="D42" s="1612"/>
      <c r="E42" s="1612"/>
      <c r="F42" s="1612"/>
      <c r="G42" s="374"/>
      <c r="H42" s="374"/>
      <c r="W42" s="4"/>
      <c r="X42" s="4"/>
      <c r="Y42" s="4"/>
    </row>
    <row r="43" spans="2:25" s="433" customFormat="1" ht="11.25" customHeight="1">
      <c r="C43" s="437"/>
      <c r="D43" s="434"/>
      <c r="E43" s="434"/>
    </row>
    <row r="44" spans="2:25" s="433" customFormat="1">
      <c r="C44" s="470"/>
      <c r="D44" s="434"/>
      <c r="E44" s="434"/>
    </row>
    <row r="45" spans="2:25" s="433" customFormat="1">
      <c r="C45" s="470"/>
      <c r="D45" s="434"/>
      <c r="E45" s="434"/>
    </row>
    <row r="46" spans="2:25" s="433" customFormat="1">
      <c r="C46" s="470"/>
      <c r="D46" s="434"/>
      <c r="E46" s="434"/>
    </row>
    <row r="47" spans="2:25" s="433" customFormat="1">
      <c r="C47" s="375"/>
      <c r="D47" s="375"/>
      <c r="E47" s="375"/>
      <c r="G47" s="445"/>
      <c r="H47" s="445"/>
    </row>
    <row r="48" spans="2:25" s="433" customFormat="1">
      <c r="C48" s="375"/>
      <c r="D48" s="375"/>
      <c r="E48" s="375"/>
      <c r="G48" s="445"/>
      <c r="H48" s="445"/>
    </row>
    <row r="49" spans="7:8" s="433" customFormat="1">
      <c r="G49" s="445"/>
      <c r="H49" s="445"/>
    </row>
    <row r="50" spans="7:8" s="433" customFormat="1">
      <c r="G50" s="445"/>
      <c r="H50" s="445"/>
    </row>
    <row r="51" spans="7:8" s="433" customFormat="1">
      <c r="G51" s="445"/>
      <c r="H51" s="445"/>
    </row>
    <row r="52" spans="7:8" s="433" customFormat="1">
      <c r="G52" s="445"/>
      <c r="H52" s="445"/>
    </row>
    <row r="53" spans="7:8" s="433" customFormat="1">
      <c r="G53" s="445"/>
      <c r="H53" s="445"/>
    </row>
    <row r="54" spans="7:8" s="433" customFormat="1">
      <c r="G54" s="445"/>
      <c r="H54" s="445"/>
    </row>
    <row r="55" spans="7:8" s="433" customFormat="1">
      <c r="G55" s="445"/>
      <c r="H55" s="445"/>
    </row>
    <row r="56" spans="7:8" s="433" customFormat="1">
      <c r="G56" s="445"/>
      <c r="H56" s="445"/>
    </row>
    <row r="57" spans="7:8" s="433" customFormat="1">
      <c r="G57" s="445"/>
      <c r="H57" s="445"/>
    </row>
    <row r="58" spans="7:8" s="433" customFormat="1">
      <c r="G58" s="445"/>
      <c r="H58" s="445"/>
    </row>
    <row r="59" spans="7:8" s="433" customFormat="1">
      <c r="G59" s="445"/>
      <c r="H59" s="445"/>
    </row>
    <row r="60" spans="7:8" s="433" customFormat="1">
      <c r="G60" s="445"/>
      <c r="H60" s="445"/>
    </row>
    <row r="61" spans="7:8" s="433" customFormat="1">
      <c r="G61" s="445"/>
      <c r="H61" s="445"/>
    </row>
    <row r="62" spans="7:8" s="433" customFormat="1">
      <c r="G62" s="445"/>
      <c r="H62" s="445"/>
    </row>
    <row r="63" spans="7:8" s="433" customFormat="1">
      <c r="G63" s="445"/>
      <c r="H63" s="445"/>
    </row>
    <row r="64" spans="7:8" s="433" customFormat="1">
      <c r="G64" s="445"/>
      <c r="H64" s="445"/>
    </row>
    <row r="65" spans="7:8" s="433" customFormat="1">
      <c r="G65" s="445"/>
      <c r="H65" s="445"/>
    </row>
    <row r="66" spans="7:8" s="433" customFormat="1">
      <c r="G66" s="445"/>
      <c r="H66" s="445"/>
    </row>
    <row r="67" spans="7:8" s="433" customFormat="1">
      <c r="G67" s="445"/>
      <c r="H67" s="445"/>
    </row>
    <row r="68" spans="7:8" s="433" customFormat="1">
      <c r="G68" s="445"/>
      <c r="H68" s="445"/>
    </row>
    <row r="69" spans="7:8" s="433" customFormat="1"/>
    <row r="70" spans="7:8" s="433" customFormat="1"/>
    <row r="71" spans="7:8" s="433" customFormat="1"/>
    <row r="72" spans="7:8" s="433" customFormat="1"/>
    <row r="73" spans="7:8" s="433" customFormat="1"/>
    <row r="74" spans="7:8" s="433" customFormat="1"/>
    <row r="75" spans="7:8" s="433" customFormat="1"/>
    <row r="76" spans="7:8" s="433" customFormat="1"/>
    <row r="77" spans="7:8" s="433" customFormat="1"/>
    <row r="78" spans="7:8" s="433" customFormat="1"/>
    <row r="79" spans="7:8" s="433" customFormat="1"/>
    <row r="80" spans="7:8" s="433" customFormat="1"/>
    <row r="81" s="433" customFormat="1"/>
    <row r="82" s="433" customFormat="1"/>
    <row r="83" s="433" customFormat="1"/>
    <row r="84" s="433" customFormat="1"/>
    <row r="85" s="433" customFormat="1"/>
    <row r="86" s="433" customFormat="1"/>
    <row r="87" s="433" customFormat="1"/>
    <row r="88" s="433" customFormat="1"/>
    <row r="89" s="433" customFormat="1"/>
    <row r="90" s="433" customFormat="1"/>
    <row r="91" s="433" customFormat="1"/>
    <row r="92" s="433" customFormat="1"/>
    <row r="93" s="433" customFormat="1"/>
    <row r="94" s="433" customFormat="1"/>
    <row r="95" s="433" customFormat="1"/>
    <row r="96" s="433" customFormat="1"/>
    <row r="97" s="433" customFormat="1"/>
    <row r="98" s="433" customFormat="1"/>
    <row r="99" s="433" customFormat="1"/>
    <row r="100" s="433" customFormat="1"/>
    <row r="101" s="433" customFormat="1"/>
    <row r="102" s="433" customFormat="1"/>
    <row r="103" s="433" customFormat="1"/>
    <row r="104" s="433" customFormat="1"/>
    <row r="105" s="433" customFormat="1"/>
    <row r="106" s="433" customFormat="1"/>
    <row r="107" s="433" customFormat="1"/>
    <row r="108" s="433" customFormat="1"/>
    <row r="109" s="433" customFormat="1"/>
    <row r="110" s="433" customFormat="1"/>
    <row r="111" s="433" customFormat="1"/>
    <row r="112" s="433" customFormat="1"/>
    <row r="113" s="433" customFormat="1"/>
    <row r="114" s="433" customFormat="1" ht="12" customHeight="1"/>
    <row r="115" s="433" customFormat="1"/>
    <row r="116" s="433" customFormat="1"/>
    <row r="117" s="433" customFormat="1"/>
    <row r="118" s="433" customFormat="1"/>
    <row r="119" s="433" customFormat="1"/>
    <row r="120" s="433" customFormat="1"/>
    <row r="121" s="433" customFormat="1"/>
    <row r="122" s="433" customFormat="1"/>
    <row r="123" s="433" customFormat="1"/>
    <row r="124" s="433" customFormat="1"/>
    <row r="125" s="433" customFormat="1"/>
    <row r="126" s="433" customFormat="1"/>
    <row r="127" s="433" customFormat="1"/>
    <row r="128" s="433" customFormat="1"/>
    <row r="129" s="433" customFormat="1"/>
    <row r="130" s="433" customFormat="1"/>
    <row r="131" s="433" customFormat="1"/>
    <row r="132" s="433" customFormat="1"/>
    <row r="133" s="433" customFormat="1"/>
    <row r="134" s="433" customFormat="1"/>
    <row r="135" s="433" customFormat="1"/>
    <row r="136" s="433" customFormat="1"/>
    <row r="137" s="433" customFormat="1"/>
    <row r="138" s="433" customFormat="1"/>
    <row r="139" s="433" customFormat="1"/>
    <row r="140" s="433" customFormat="1"/>
    <row r="141" s="433" customFormat="1"/>
    <row r="142" s="433" customFormat="1"/>
    <row r="143" s="433" customFormat="1"/>
    <row r="144" s="433" customFormat="1"/>
    <row r="145" s="433" customFormat="1"/>
    <row r="146" s="433" customFormat="1"/>
    <row r="147" s="433" customFormat="1"/>
    <row r="148" s="433" customFormat="1"/>
    <row r="149" s="433" customFormat="1"/>
    <row r="150" s="433" customFormat="1"/>
    <row r="151" s="433" customFormat="1"/>
    <row r="152" s="433" customFormat="1"/>
    <row r="153" s="433" customFormat="1"/>
    <row r="154" s="433" customFormat="1"/>
    <row r="155" s="433" customFormat="1"/>
    <row r="156" s="433" customFormat="1"/>
    <row r="157" s="433" customFormat="1"/>
    <row r="158" s="433" customFormat="1"/>
    <row r="159" s="433" customFormat="1"/>
    <row r="160" s="433" customFormat="1"/>
    <row r="161" s="433" customFormat="1"/>
    <row r="162" s="433" customFormat="1"/>
    <row r="163" s="433" customFormat="1"/>
    <row r="164" s="433" customFormat="1"/>
    <row r="165" s="433" customFormat="1"/>
    <row r="166" s="433" customFormat="1"/>
    <row r="167" s="433" customFormat="1"/>
    <row r="168" s="433" customFormat="1"/>
    <row r="169" s="433" customFormat="1"/>
    <row r="170" s="433" customFormat="1"/>
    <row r="171" s="433" customFormat="1"/>
    <row r="172" s="433" customFormat="1"/>
    <row r="173" s="433" customFormat="1"/>
    <row r="174" s="433" customFormat="1"/>
    <row r="175" s="433" customFormat="1"/>
    <row r="176" s="433" customFormat="1"/>
    <row r="177" s="433" customFormat="1"/>
    <row r="178" s="433" customFormat="1"/>
    <row r="179" s="433" customFormat="1"/>
    <row r="180" s="433" customFormat="1"/>
    <row r="181" s="433" customFormat="1"/>
    <row r="182" s="433" customFormat="1"/>
    <row r="183" s="433" customFormat="1"/>
    <row r="184" s="433" customFormat="1"/>
    <row r="185" s="433" customFormat="1"/>
    <row r="186" s="433" customFormat="1"/>
    <row r="187" s="433" customFormat="1"/>
    <row r="188" s="433" customFormat="1"/>
    <row r="189" s="433" customFormat="1"/>
    <row r="190" s="433" customFormat="1"/>
    <row r="191" s="433" customFormat="1"/>
    <row r="192" s="433" customFormat="1"/>
    <row r="193" s="433" customFormat="1"/>
    <row r="194" s="433" customFormat="1"/>
    <row r="195" s="433" customFormat="1"/>
    <row r="196" s="433" customFormat="1"/>
    <row r="197" s="433" customFormat="1"/>
    <row r="198" s="433" customFormat="1"/>
    <row r="199" s="433" customFormat="1"/>
    <row r="200" s="433" customFormat="1"/>
    <row r="201" s="433" customFormat="1"/>
    <row r="202" s="433" customFormat="1"/>
    <row r="203" s="433" customFormat="1"/>
    <row r="204" s="433" customFormat="1"/>
    <row r="205" s="433" customFormat="1"/>
    <row r="206" s="433" customFormat="1"/>
    <row r="207" s="433" customFormat="1"/>
    <row r="208" s="433" customFormat="1"/>
    <row r="209" s="433" customFormat="1"/>
    <row r="210" s="433" customFormat="1"/>
    <row r="211" s="433" customFormat="1"/>
    <row r="212" s="433" customFormat="1"/>
    <row r="213" s="433" customFormat="1"/>
    <row r="214" s="433" customFormat="1"/>
    <row r="215" s="433" customFormat="1"/>
    <row r="216" s="433" customFormat="1"/>
    <row r="217" s="433" customFormat="1"/>
    <row r="218" s="433" customFormat="1"/>
    <row r="219" s="433" customFormat="1"/>
    <row r="220" s="433" customFormat="1"/>
    <row r="221" s="433" customFormat="1"/>
    <row r="222" s="433" customFormat="1"/>
    <row r="223" s="433" customFormat="1"/>
    <row r="224" s="433" customFormat="1"/>
    <row r="225" s="433" customFormat="1"/>
    <row r="226" s="433" customFormat="1"/>
    <row r="227" s="433" customFormat="1"/>
    <row r="228" s="433" customFormat="1"/>
    <row r="229" s="433" customFormat="1"/>
    <row r="230" s="433" customFormat="1"/>
    <row r="231" s="433" customFormat="1"/>
    <row r="232" s="433" customFormat="1"/>
    <row r="233" s="433" customFormat="1"/>
    <row r="234" s="433" customFormat="1"/>
    <row r="235" s="433" customFormat="1"/>
    <row r="236" s="433" customFormat="1"/>
    <row r="237" s="433" customFormat="1"/>
    <row r="238" s="433" customFormat="1"/>
    <row r="239" s="433" customFormat="1"/>
    <row r="240" s="433" customFormat="1"/>
    <row r="241" s="433" customFormat="1"/>
    <row r="242" s="433" customFormat="1"/>
    <row r="243" s="433" customFormat="1"/>
    <row r="244" s="433" customFormat="1"/>
    <row r="245" s="433" customFormat="1"/>
    <row r="246" s="433" customFormat="1"/>
    <row r="247" s="433" customFormat="1"/>
    <row r="248" s="433" customFormat="1"/>
    <row r="249" s="433" customFormat="1"/>
    <row r="250" s="433" customFormat="1"/>
    <row r="251" s="433" customFormat="1"/>
    <row r="252" s="433" customFormat="1"/>
    <row r="253" s="433" customFormat="1"/>
    <row r="254" s="433" customFormat="1"/>
    <row r="255" s="433" customFormat="1"/>
    <row r="256" s="433" customFormat="1"/>
    <row r="257" s="433" customFormat="1"/>
    <row r="258" s="433" customFormat="1"/>
    <row r="259" s="433" customFormat="1"/>
    <row r="260" s="433" customFormat="1"/>
    <row r="261" s="433" customFormat="1"/>
    <row r="262" s="433" customFormat="1"/>
    <row r="263" s="433" customFormat="1"/>
    <row r="264" s="433" customFormat="1"/>
    <row r="265" s="433" customFormat="1"/>
    <row r="266" s="433" customFormat="1"/>
    <row r="267" s="433" customFormat="1"/>
    <row r="268" s="433" customFormat="1"/>
    <row r="269" s="433" customFormat="1"/>
  </sheetData>
  <mergeCells count="2">
    <mergeCell ref="E6:F6"/>
    <mergeCell ref="G6:H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3"/>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140625" style="138" customWidth="1"/>
    <col min="4" max="4" width="31.5703125" style="138" customWidth="1"/>
    <col min="5" max="11" width="7.42578125" style="138" customWidth="1"/>
    <col min="12" max="16" width="7.5703125" style="138" customWidth="1"/>
    <col min="17" max="17" width="6.42578125" style="138" customWidth="1"/>
    <col min="18" max="18" width="7.42578125" style="138" customWidth="1"/>
    <col min="19" max="19" width="11" style="138" bestFit="1" customWidth="1"/>
    <col min="20" max="20" width="12" style="138" bestFit="1" customWidth="1"/>
    <col min="21" max="27" width="9.140625" style="138"/>
    <col min="28" max="28" width="12.42578125" style="4" hidden="1" customWidth="1"/>
    <col min="29" max="30" width="9.140625" style="4" hidden="1" customWidth="1"/>
    <col min="31" max="16384" width="9.140625" style="138"/>
  </cols>
  <sheetData>
    <row r="1" spans="1:36" s="168" customFormat="1" ht="15" customHeight="1">
      <c r="E1" s="138"/>
      <c r="F1" s="138"/>
      <c r="G1" s="138"/>
      <c r="L1" s="138"/>
      <c r="AB1" s="168">
        <v>1</v>
      </c>
      <c r="AC1" s="168" t="s">
        <v>1</v>
      </c>
      <c r="AD1" s="168">
        <v>1</v>
      </c>
    </row>
    <row r="2" spans="1:36" s="168" customFormat="1" ht="24" customHeight="1">
      <c r="B2" s="8"/>
      <c r="C2" s="336" t="str">
        <f>IF(Indice_index!$Z$1=1,"18 - Dívida não Financeira das Administrações Públicas","18 - General Government Non-Financial Debt")</f>
        <v>18 - General Government Non-Financial Debt</v>
      </c>
      <c r="D2" s="336"/>
      <c r="E2" s="336"/>
      <c r="F2" s="336"/>
      <c r="G2" s="336"/>
      <c r="H2" s="336"/>
      <c r="I2" s="336"/>
      <c r="J2" s="336"/>
      <c r="K2" s="336"/>
      <c r="L2" s="336"/>
      <c r="M2" s="337"/>
      <c r="N2" s="337"/>
      <c r="O2" s="337"/>
      <c r="P2" s="337"/>
      <c r="Q2" s="337"/>
      <c r="R2" s="337"/>
      <c r="AB2" s="338">
        <v>2</v>
      </c>
      <c r="AC2" s="4" t="s">
        <v>2</v>
      </c>
      <c r="AD2" s="4"/>
    </row>
    <row r="3" spans="1:36" ht="15" customHeight="1">
      <c r="A3" s="339"/>
      <c r="B3" s="339"/>
      <c r="C3" s="339"/>
      <c r="D3" s="339"/>
      <c r="E3" s="340"/>
      <c r="F3" s="340"/>
      <c r="G3" s="340"/>
      <c r="L3" s="340"/>
    </row>
    <row r="4" spans="1:36" ht="15" customHeight="1">
      <c r="C4" s="97"/>
      <c r="D4" s="97"/>
      <c r="E4" s="97"/>
      <c r="F4" s="97"/>
      <c r="G4" s="97"/>
      <c r="H4" s="97"/>
      <c r="I4" s="97"/>
      <c r="J4" s="97"/>
      <c r="K4" s="97"/>
      <c r="L4" s="97"/>
      <c r="M4" s="97"/>
      <c r="N4" s="97"/>
      <c r="O4" s="97"/>
      <c r="P4" s="97"/>
      <c r="Q4" s="97"/>
      <c r="R4" s="97"/>
    </row>
    <row r="5" spans="1:36" s="317" customFormat="1" ht="15" customHeight="1">
      <c r="C5" s="1056" t="str">
        <f>+'5 - Conta AC + SS'!C5</f>
        <v>Period: January to May</v>
      </c>
      <c r="D5" s="1077"/>
      <c r="E5" s="1078"/>
      <c r="F5" s="1078"/>
      <c r="G5" s="1078"/>
      <c r="H5" s="1078"/>
      <c r="I5" s="1078"/>
      <c r="J5" s="1078"/>
      <c r="K5" s="1078"/>
      <c r="L5" s="1078"/>
      <c r="M5" s="1078"/>
      <c r="N5" s="1078"/>
      <c r="O5" s="1078"/>
      <c r="P5" s="1078"/>
      <c r="S5" s="315"/>
      <c r="AB5" s="250"/>
      <c r="AC5" s="250"/>
      <c r="AD5" s="250"/>
    </row>
    <row r="6" spans="1:36" s="317" customFormat="1" ht="15" customHeight="1">
      <c r="D6" s="1077" t="str">
        <f>IF(Indice_index!$Z$1=1,"Passivo não financeiro das Administrações Públicas  - Stock em fim de período","Non financial Liabilities from General Government - Stock in the end of the period")</f>
        <v>Non financial Liabilities from General Government - Stock in the end of the period</v>
      </c>
      <c r="E6" s="1079"/>
      <c r="F6" s="1079"/>
      <c r="K6" s="1079"/>
      <c r="S6" s="464"/>
      <c r="AB6" s="250"/>
      <c r="AC6" s="250"/>
      <c r="AD6" s="250"/>
    </row>
    <row r="7" spans="1:36" s="317" customFormat="1">
      <c r="D7" s="1077"/>
      <c r="R7" s="1080" t="str">
        <f>IF(Indice_index!$Z$1=1,"€ Milhões","€ Millions")</f>
        <v>€ Millions</v>
      </c>
      <c r="S7" s="464"/>
      <c r="AB7" s="250"/>
      <c r="AC7" s="250"/>
      <c r="AD7" s="250"/>
    </row>
    <row r="8" spans="1:36" s="169" customFormat="1" ht="12.75" customHeight="1">
      <c r="C8" s="1737" t="str">
        <f>IF(Indice_index!$Z$1=1,"Natureza da Dívida","Nature of Debt")</f>
        <v>Nature of Debt</v>
      </c>
      <c r="D8" s="1738"/>
      <c r="E8" s="1745">
        <v>2021</v>
      </c>
      <c r="F8" s="1746"/>
      <c r="G8" s="1746"/>
      <c r="H8" s="1746"/>
      <c r="I8" s="1746"/>
      <c r="J8" s="1746"/>
      <c r="K8" s="1746"/>
      <c r="L8" s="1747"/>
      <c r="M8" s="1748">
        <v>2022</v>
      </c>
      <c r="N8" s="1746"/>
      <c r="O8" s="1746"/>
      <c r="P8" s="1746"/>
      <c r="Q8" s="1747"/>
      <c r="R8" s="1735" t="str">
        <f>IF(Indice_index!$Z$1=1,"variação mensal","monthly variation")</f>
        <v>monthly variation</v>
      </c>
      <c r="S8" s="465"/>
      <c r="AB8" s="18"/>
      <c r="AC8" s="18"/>
      <c r="AD8" s="18"/>
    </row>
    <row r="9" spans="1:36" s="169" customFormat="1" ht="15.75" customHeight="1">
      <c r="C9" s="1739"/>
      <c r="D9" s="1740"/>
      <c r="E9" s="1082" t="str">
        <f>IF(Indice_index!$Z$1=1,"mai*","May*")</f>
        <v>May*</v>
      </c>
      <c r="F9" s="1082" t="str">
        <f>IF(Indice_index!$Z$1=1,"jun*","June*")</f>
        <v>June*</v>
      </c>
      <c r="G9" s="1083" t="str">
        <f>IF(Indice_index!$Z$1=1,"jul*","July*")</f>
        <v>July*</v>
      </c>
      <c r="H9" s="1083" t="str">
        <f>IF(Indice_index!$Z$1=1,"ago*","Aug*")</f>
        <v>Aug*</v>
      </c>
      <c r="I9" s="1083" t="str">
        <f>IF(Indice_index!$Z$1=1,"set*","Sep* ")</f>
        <v xml:space="preserve">Sep* </v>
      </c>
      <c r="J9" s="1084" t="str">
        <f>IF(Indice_index!$Z$1=1,"out*","Oct*")</f>
        <v>Oct*</v>
      </c>
      <c r="K9" s="1085" t="str">
        <f>IF(Indice_index!$Z$1=1,"nov*","Nov*")</f>
        <v>Nov*</v>
      </c>
      <c r="L9" s="1086" t="str">
        <f>IF(Indice_index!$Z$1=1,"dez*","Dec*")</f>
        <v>Dec*</v>
      </c>
      <c r="M9" s="1082" t="str">
        <f>IF(Indice_index!$Z$1=1,"jan*","Jan*")</f>
        <v>Jan*</v>
      </c>
      <c r="N9" s="1082" t="str">
        <f>IF(Indice_index!$Z$1=1,"fev*","Feb*")</f>
        <v>Feb*</v>
      </c>
      <c r="O9" s="1081" t="str">
        <f>IF(Indice_index!$Z$1=1,"mar*","Mar*")</f>
        <v>Mar*</v>
      </c>
      <c r="P9" s="1081" t="str">
        <f>IF(Indice_index!$Z$1=1,"abr*","Apr*")</f>
        <v>Apr*</v>
      </c>
      <c r="Q9" s="1082" t="str">
        <f>IF(Indice_index!$Z$1=1,"mai*","May*")</f>
        <v>May*</v>
      </c>
      <c r="R9" s="1736"/>
      <c r="S9" s="112"/>
      <c r="AA9" s="18"/>
      <c r="AB9" s="18"/>
      <c r="AC9" s="18"/>
    </row>
    <row r="10" spans="1:36" s="169" customFormat="1" ht="15" customHeight="1">
      <c r="C10" s="1741" t="str">
        <f>IF(Indice_index!$Z$1=1,"AC","CG")</f>
        <v>CG</v>
      </c>
      <c r="D10" s="1087" t="str">
        <f>IF(Indice_index!$Z$1=1,"Aquisição de Bens e Serviços","Goods and Services Acquisition")</f>
        <v>Goods and Services Acquisition</v>
      </c>
      <c r="E10" s="1088">
        <v>449.64246907</v>
      </c>
      <c r="F10" s="1088">
        <v>393.36175537999958</v>
      </c>
      <c r="G10" s="1088">
        <v>394.28554687999997</v>
      </c>
      <c r="H10" s="1088">
        <v>401.19912697000035</v>
      </c>
      <c r="I10" s="1088">
        <v>367.12549348999977</v>
      </c>
      <c r="J10" s="1088">
        <v>355.03992407999976</v>
      </c>
      <c r="K10" s="1088">
        <v>478.48410772999978</v>
      </c>
      <c r="L10" s="1089">
        <v>241.47870801999986</v>
      </c>
      <c r="M10" s="1090"/>
      <c r="N10" s="1088"/>
      <c r="O10" s="1088"/>
      <c r="P10" s="1088"/>
      <c r="Q10" s="1089"/>
      <c r="R10" s="1091">
        <f>Q10-P10</f>
        <v>0</v>
      </c>
      <c r="S10" s="112"/>
      <c r="T10" s="341"/>
      <c r="W10" s="342"/>
      <c r="AA10" s="18"/>
      <c r="AB10" s="18"/>
      <c r="AC10" s="18"/>
    </row>
    <row r="11" spans="1:36" s="169" customFormat="1" ht="15" customHeight="1">
      <c r="C11" s="1742"/>
      <c r="D11" s="1087" t="str">
        <f>IF(Indice_index!$Z$1=1,"Aquisição Bens de Capital","Capital Goods Acquisition")</f>
        <v>Capital Goods Acquisition</v>
      </c>
      <c r="E11" s="1092">
        <v>21.354782810000003</v>
      </c>
      <c r="F11" s="1092">
        <v>22.622366889999988</v>
      </c>
      <c r="G11" s="1092">
        <v>21.246262290000004</v>
      </c>
      <c r="H11" s="1092">
        <v>18.527855510000006</v>
      </c>
      <c r="I11" s="1092">
        <v>20.5512972</v>
      </c>
      <c r="J11" s="1092">
        <v>26.122987139999989</v>
      </c>
      <c r="K11" s="1092">
        <v>35.153274320000016</v>
      </c>
      <c r="L11" s="1093">
        <v>9.1747972700000027</v>
      </c>
      <c r="M11" s="1094"/>
      <c r="N11" s="1092"/>
      <c r="O11" s="1092"/>
      <c r="P11" s="1092"/>
      <c r="Q11" s="1093"/>
      <c r="R11" s="1095">
        <f>Q11-P11</f>
        <v>0</v>
      </c>
      <c r="S11" s="466"/>
      <c r="T11" s="170"/>
      <c r="U11" s="170"/>
      <c r="W11" s="342"/>
      <c r="AA11" s="18"/>
      <c r="AB11" s="18"/>
      <c r="AC11" s="18"/>
    </row>
    <row r="12" spans="1:36" s="169" customFormat="1" ht="15" customHeight="1">
      <c r="C12" s="1742"/>
      <c r="D12" s="1087" t="str">
        <f>IF(Indice_index!$Z$1=1,"Transferências para AP","Transfers inside GG")</f>
        <v>Transfers inside GG</v>
      </c>
      <c r="E12" s="1092">
        <v>31.578643719999999</v>
      </c>
      <c r="F12" s="1092">
        <v>39.801330149999998</v>
      </c>
      <c r="G12" s="1092">
        <v>39.433287329999999</v>
      </c>
      <c r="H12" s="1092">
        <v>45.913247420000005</v>
      </c>
      <c r="I12" s="1092">
        <v>29.927152589999999</v>
      </c>
      <c r="J12" s="1092">
        <v>38.319305980000003</v>
      </c>
      <c r="K12" s="1092">
        <v>33.640002469999999</v>
      </c>
      <c r="L12" s="1093">
        <v>28.061637040000001</v>
      </c>
      <c r="M12" s="1094"/>
      <c r="N12" s="1092"/>
      <c r="O12" s="1092"/>
      <c r="P12" s="1092"/>
      <c r="Q12" s="1093"/>
      <c r="R12" s="1095">
        <f>Q12-P12</f>
        <v>0</v>
      </c>
      <c r="S12" s="466"/>
      <c r="T12" s="170"/>
      <c r="U12" s="170"/>
      <c r="W12" s="342"/>
      <c r="AA12" s="18"/>
      <c r="AB12" s="18"/>
      <c r="AC12" s="18"/>
    </row>
    <row r="13" spans="1:36" s="169" customFormat="1" ht="15" customHeight="1">
      <c r="C13" s="1742"/>
      <c r="D13" s="1087" t="str">
        <f>IF(Indice_index!$Z$1=1,"Transferências para fora das AP","Transfers outside GG")</f>
        <v>Transfers outside GG</v>
      </c>
      <c r="E13" s="1092">
        <v>28.270310420000001</v>
      </c>
      <c r="F13" s="1092">
        <v>24.577322760000001</v>
      </c>
      <c r="G13" s="1092">
        <v>17.234999890000001</v>
      </c>
      <c r="H13" s="1092">
        <v>25.557118729999999</v>
      </c>
      <c r="I13" s="1092">
        <v>21.533130079999999</v>
      </c>
      <c r="J13" s="1092">
        <v>19.112499110000002</v>
      </c>
      <c r="K13" s="1092">
        <v>112.85260206999996</v>
      </c>
      <c r="L13" s="1093">
        <v>8.96728594</v>
      </c>
      <c r="M13" s="1094"/>
      <c r="N13" s="1092"/>
      <c r="O13" s="1092"/>
      <c r="P13" s="1092"/>
      <c r="Q13" s="1093"/>
      <c r="R13" s="1095">
        <f>Q13-P13</f>
        <v>0</v>
      </c>
      <c r="S13" s="466"/>
      <c r="T13" s="170"/>
      <c r="U13" s="170"/>
      <c r="V13" s="170"/>
      <c r="W13" s="170"/>
      <c r="X13" s="170"/>
      <c r="Y13" s="170"/>
      <c r="Z13" s="170"/>
      <c r="AA13" s="170"/>
      <c r="AB13" s="170"/>
      <c r="AC13" s="170"/>
      <c r="AD13" s="170"/>
      <c r="AE13" s="170"/>
      <c r="AF13" s="170"/>
      <c r="AG13" s="170"/>
      <c r="AH13" s="170"/>
      <c r="AI13" s="170"/>
      <c r="AJ13" s="170"/>
    </row>
    <row r="14" spans="1:36" s="169" customFormat="1" ht="15" customHeight="1">
      <c r="C14" s="1743"/>
      <c r="D14" s="1087" t="str">
        <f>IF(Indice_index!$Z$1=1,"Outras","Others")</f>
        <v>Others</v>
      </c>
      <c r="E14" s="1092">
        <v>86.040204189999997</v>
      </c>
      <c r="F14" s="1092">
        <v>138.64004650000004</v>
      </c>
      <c r="G14" s="1092">
        <v>96.000534419999923</v>
      </c>
      <c r="H14" s="1092">
        <v>93.203909699999997</v>
      </c>
      <c r="I14" s="1092">
        <v>100.25355976999988</v>
      </c>
      <c r="J14" s="1092">
        <v>88.585720850000016</v>
      </c>
      <c r="K14" s="1092">
        <v>130.8403272499998</v>
      </c>
      <c r="L14" s="1093">
        <v>71.634125449999999</v>
      </c>
      <c r="M14" s="1094"/>
      <c r="N14" s="1092"/>
      <c r="O14" s="1092"/>
      <c r="P14" s="1092"/>
      <c r="Q14" s="1093"/>
      <c r="R14" s="1095">
        <f t="shared" ref="R14:R26" si="0">Q14-P14</f>
        <v>0</v>
      </c>
      <c r="S14" s="466"/>
      <c r="T14" s="170"/>
      <c r="U14" s="170"/>
      <c r="V14" s="170"/>
      <c r="W14" s="170"/>
      <c r="X14" s="170"/>
      <c r="Y14" s="170"/>
      <c r="Z14" s="170"/>
      <c r="AA14" s="170"/>
      <c r="AB14" s="170"/>
      <c r="AC14" s="170"/>
      <c r="AD14" s="170"/>
      <c r="AE14" s="170"/>
      <c r="AF14" s="170"/>
      <c r="AG14" s="170"/>
      <c r="AH14" s="170"/>
      <c r="AI14" s="170"/>
      <c r="AJ14" s="170"/>
    </row>
    <row r="15" spans="1:36" s="317" customFormat="1" ht="15" customHeight="1">
      <c r="C15" s="1744" t="str">
        <f>IF(Indice_index!$Z$1=1,"Total da Administração Central","Central Government - Total")</f>
        <v>Central Government - Total</v>
      </c>
      <c r="D15" s="1744"/>
      <c r="E15" s="1096">
        <v>616.88641021000012</v>
      </c>
      <c r="F15" s="1096">
        <v>619.00282167999967</v>
      </c>
      <c r="G15" s="1096">
        <v>568.20063080999989</v>
      </c>
      <c r="H15" s="1096">
        <v>584.40125833000036</v>
      </c>
      <c r="I15" s="1096">
        <v>539.39063312999963</v>
      </c>
      <c r="J15" s="1096">
        <v>527.18043715999977</v>
      </c>
      <c r="K15" s="1096">
        <v>790.97031383999956</v>
      </c>
      <c r="L15" s="1097">
        <v>359.31655372</v>
      </c>
      <c r="M15" s="1098"/>
      <c r="N15" s="1096"/>
      <c r="O15" s="1096"/>
      <c r="P15" s="1096"/>
      <c r="Q15" s="1096"/>
      <c r="R15" s="1099">
        <f>Q15-P15</f>
        <v>0</v>
      </c>
      <c r="S15" s="466"/>
      <c r="T15" s="318"/>
      <c r="U15" s="318"/>
      <c r="V15" s="318"/>
      <c r="W15" s="318"/>
      <c r="X15" s="318"/>
      <c r="Y15" s="318"/>
      <c r="Z15" s="318"/>
      <c r="AA15" s="318"/>
      <c r="AB15" s="318"/>
      <c r="AC15" s="318"/>
      <c r="AD15" s="318"/>
      <c r="AE15" s="318"/>
      <c r="AF15" s="318"/>
      <c r="AG15" s="318"/>
      <c r="AH15" s="318"/>
      <c r="AI15" s="318"/>
      <c r="AJ15" s="318"/>
    </row>
    <row r="16" spans="1:36" s="169" customFormat="1" ht="15" customHeight="1">
      <c r="C16" s="1741" t="str">
        <f>IF(Indice_index!$Z$1=1,"AR","RG")</f>
        <v>RG</v>
      </c>
      <c r="D16" s="1087" t="str">
        <f>IF(Indice_index!$Z$1=1,"Aquisição de Bens e Serviços","Goods and Services Acquisition")</f>
        <v>Goods and Services Acquisition</v>
      </c>
      <c r="E16" s="1092">
        <v>43.177687969999994</v>
      </c>
      <c r="F16" s="1092">
        <v>41.044339559999997</v>
      </c>
      <c r="G16" s="1092">
        <v>59.698742129999999</v>
      </c>
      <c r="H16" s="1092">
        <v>43.01077793999999</v>
      </c>
      <c r="I16" s="1092">
        <v>58.05360555</v>
      </c>
      <c r="J16" s="1092">
        <v>43.204978699999998</v>
      </c>
      <c r="K16" s="1092">
        <v>54.366488629999999</v>
      </c>
      <c r="L16" s="1093">
        <v>35.102102729999991</v>
      </c>
      <c r="M16" s="1094">
        <v>70.18123645</v>
      </c>
      <c r="N16" s="1092">
        <v>50.578692529999998</v>
      </c>
      <c r="O16" s="1092">
        <v>66.384027709999998</v>
      </c>
      <c r="P16" s="1092">
        <v>51.478083580000003</v>
      </c>
      <c r="Q16" s="1093">
        <v>52.45455604</v>
      </c>
      <c r="R16" s="1095">
        <f t="shared" si="0"/>
        <v>0.97647245999999654</v>
      </c>
      <c r="S16" s="466"/>
      <c r="T16" s="170"/>
      <c r="U16" s="170"/>
      <c r="V16" s="170"/>
      <c r="W16" s="170"/>
      <c r="X16" s="170"/>
      <c r="Y16" s="170"/>
      <c r="Z16" s="170"/>
      <c r="AA16" s="170"/>
      <c r="AB16" s="170"/>
      <c r="AC16" s="170"/>
      <c r="AD16" s="170"/>
      <c r="AE16" s="170"/>
      <c r="AF16" s="170"/>
      <c r="AG16" s="170"/>
      <c r="AH16" s="170"/>
      <c r="AI16" s="170"/>
      <c r="AJ16" s="170"/>
    </row>
    <row r="17" spans="2:36" s="169" customFormat="1" ht="15" customHeight="1">
      <c r="C17" s="1742"/>
      <c r="D17" s="1087" t="str">
        <f>IF(Indice_index!$Z$1=1,"Aquisição Bens de Capital","Capital Goods Acquisition")</f>
        <v>Capital Goods Acquisition</v>
      </c>
      <c r="E17" s="1092">
        <v>19.730921630000001</v>
      </c>
      <c r="F17" s="1092">
        <v>20.42946877</v>
      </c>
      <c r="G17" s="1092">
        <v>18.412506929999999</v>
      </c>
      <c r="H17" s="1092">
        <v>21.74738331</v>
      </c>
      <c r="I17" s="1092">
        <v>21.670248690000001</v>
      </c>
      <c r="J17" s="1092">
        <v>25.738717699999999</v>
      </c>
      <c r="K17" s="1092">
        <v>26.929857900000002</v>
      </c>
      <c r="L17" s="1093">
        <v>17.14231917</v>
      </c>
      <c r="M17" s="1094">
        <v>17.249250880000002</v>
      </c>
      <c r="N17" s="1092">
        <v>21.703355250000001</v>
      </c>
      <c r="O17" s="1092">
        <v>23.864555509999999</v>
      </c>
      <c r="P17" s="1092">
        <v>26.065782939999998</v>
      </c>
      <c r="Q17" s="1093">
        <v>25.968964500000002</v>
      </c>
      <c r="R17" s="1095">
        <f t="shared" si="0"/>
        <v>-9.6818439999996286E-2</v>
      </c>
      <c r="S17" s="466"/>
      <c r="T17" s="170"/>
      <c r="U17" s="170"/>
      <c r="V17" s="170"/>
      <c r="W17" s="170"/>
      <c r="X17" s="170"/>
      <c r="Y17" s="170"/>
      <c r="Z17" s="170"/>
      <c r="AA17" s="170"/>
      <c r="AB17" s="170"/>
      <c r="AC17" s="170"/>
      <c r="AD17" s="170"/>
      <c r="AE17" s="170"/>
      <c r="AF17" s="170"/>
      <c r="AG17" s="170"/>
      <c r="AH17" s="170"/>
      <c r="AI17" s="170"/>
      <c r="AJ17" s="170"/>
    </row>
    <row r="18" spans="2:36" s="169" customFormat="1" ht="15" customHeight="1">
      <c r="C18" s="1742"/>
      <c r="D18" s="1087" t="str">
        <f>IF(Indice_index!$Z$1=1,"Transferências para AP","Transfers inside GG")</f>
        <v>Transfers inside GG</v>
      </c>
      <c r="E18" s="1092">
        <v>2.4334759500000001</v>
      </c>
      <c r="F18" s="1092">
        <v>0.91464518000000006</v>
      </c>
      <c r="G18" s="1092">
        <v>2.8555813699999999</v>
      </c>
      <c r="H18" s="1092">
        <v>2.43838402</v>
      </c>
      <c r="I18" s="1092">
        <v>6.5292182299999997</v>
      </c>
      <c r="J18" s="1092">
        <v>9.5723088200000017</v>
      </c>
      <c r="K18" s="1092">
        <v>14.765662469999999</v>
      </c>
      <c r="L18" s="1093">
        <v>1.20263667</v>
      </c>
      <c r="M18" s="1094">
        <v>1.3422235199999999</v>
      </c>
      <c r="N18" s="1092">
        <v>10.295728699999998</v>
      </c>
      <c r="O18" s="1092">
        <v>10.074563479999998</v>
      </c>
      <c r="P18" s="1092">
        <v>5.4178420800000007</v>
      </c>
      <c r="Q18" s="1093">
        <v>9.4951207800000006</v>
      </c>
      <c r="R18" s="1095">
        <f t="shared" si="0"/>
        <v>4.0772786999999999</v>
      </c>
      <c r="S18" s="466"/>
      <c r="T18" s="170"/>
      <c r="U18" s="170"/>
      <c r="V18" s="170"/>
      <c r="W18" s="170"/>
      <c r="X18" s="170"/>
      <c r="Y18" s="170"/>
      <c r="Z18" s="170"/>
      <c r="AA18" s="170"/>
      <c r="AB18" s="170"/>
      <c r="AC18" s="170"/>
      <c r="AD18" s="170"/>
      <c r="AE18" s="170"/>
      <c r="AF18" s="170"/>
      <c r="AG18" s="170"/>
      <c r="AH18" s="170"/>
      <c r="AI18" s="170"/>
      <c r="AJ18" s="170"/>
    </row>
    <row r="19" spans="2:36" s="169" customFormat="1" ht="15" customHeight="1">
      <c r="C19" s="1742"/>
      <c r="D19" s="1087" t="str">
        <f>IF(Indice_index!$Z$1=1,"Transferências para fora das AP","Transfers outside GG")</f>
        <v>Transfers outside GG</v>
      </c>
      <c r="E19" s="1092">
        <v>41.357163900000003</v>
      </c>
      <c r="F19" s="1092">
        <v>35.596011940000004</v>
      </c>
      <c r="G19" s="1092">
        <v>37.10647196</v>
      </c>
      <c r="H19" s="1092">
        <v>35.77361569</v>
      </c>
      <c r="I19" s="1092">
        <v>36.466639360000002</v>
      </c>
      <c r="J19" s="1092">
        <v>29.291344619999997</v>
      </c>
      <c r="K19" s="1092">
        <v>36.069231049999999</v>
      </c>
      <c r="L19" s="1093">
        <v>28.30848572</v>
      </c>
      <c r="M19" s="1094">
        <v>30.441558680000004</v>
      </c>
      <c r="N19" s="1092">
        <v>29.211331540000003</v>
      </c>
      <c r="O19" s="1092">
        <v>30.801726379999003</v>
      </c>
      <c r="P19" s="1092">
        <v>25.891823199999997</v>
      </c>
      <c r="Q19" s="1093">
        <v>33.591417609998402</v>
      </c>
      <c r="R19" s="1095">
        <f t="shared" si="0"/>
        <v>7.6995944099984044</v>
      </c>
      <c r="S19" s="466"/>
      <c r="T19" s="170"/>
      <c r="U19" s="170"/>
      <c r="V19" s="170"/>
      <c r="W19" s="170"/>
      <c r="X19" s="170"/>
      <c r="Y19" s="170"/>
      <c r="Z19" s="170"/>
      <c r="AA19" s="170"/>
      <c r="AB19" s="170"/>
      <c r="AC19" s="170"/>
      <c r="AD19" s="170"/>
      <c r="AE19" s="170"/>
      <c r="AF19" s="170"/>
      <c r="AG19" s="170"/>
      <c r="AH19" s="170"/>
      <c r="AI19" s="170"/>
      <c r="AJ19" s="170"/>
    </row>
    <row r="20" spans="2:36" s="169" customFormat="1" ht="15" customHeight="1">
      <c r="C20" s="1743"/>
      <c r="D20" s="1087" t="str">
        <f>IF(Indice_index!$Z$1=1,"Outras","Others")</f>
        <v>Others</v>
      </c>
      <c r="E20" s="1092">
        <v>26.453002769999983</v>
      </c>
      <c r="F20" s="1092">
        <v>32.951106039999978</v>
      </c>
      <c r="G20" s="1092">
        <v>15.587271210000022</v>
      </c>
      <c r="H20" s="1092">
        <v>15.869660410000026</v>
      </c>
      <c r="I20" s="1092">
        <v>14.928801230000024</v>
      </c>
      <c r="J20" s="1092">
        <v>29.066870539999989</v>
      </c>
      <c r="K20" s="1092">
        <v>40.984817109999994</v>
      </c>
      <c r="L20" s="1093">
        <v>5.3690332799999911</v>
      </c>
      <c r="M20" s="1094">
        <v>16.167530890000009</v>
      </c>
      <c r="N20" s="1092">
        <v>14.933554150000003</v>
      </c>
      <c r="O20" s="1092">
        <v>17.058318580000041</v>
      </c>
      <c r="P20" s="1092">
        <v>28.182068220000019</v>
      </c>
      <c r="Q20" s="1093">
        <v>26.928279370000052</v>
      </c>
      <c r="R20" s="1095">
        <f t="shared" si="0"/>
        <v>-1.2537888499999674</v>
      </c>
      <c r="S20" s="466"/>
      <c r="T20" s="170"/>
      <c r="U20" s="170"/>
      <c r="V20" s="170"/>
      <c r="W20" s="170"/>
      <c r="X20" s="170"/>
      <c r="Y20" s="170"/>
      <c r="Z20" s="170"/>
      <c r="AA20" s="170"/>
      <c r="AB20" s="170"/>
      <c r="AC20" s="170"/>
      <c r="AD20" s="170"/>
      <c r="AE20" s="170"/>
      <c r="AF20" s="170"/>
      <c r="AG20" s="170"/>
      <c r="AH20" s="170"/>
      <c r="AI20" s="170"/>
      <c r="AJ20" s="170"/>
    </row>
    <row r="21" spans="2:36" s="317" customFormat="1" ht="15" customHeight="1">
      <c r="C21" s="1744" t="str">
        <f>IF(Indice_index!$Z$1=1,"Total da Administração Regional","Regional Government - Total")</f>
        <v>Regional Government - Total</v>
      </c>
      <c r="D21" s="1744"/>
      <c r="E21" s="1096">
        <v>133.15225221999998</v>
      </c>
      <c r="F21" s="1096">
        <v>130.93557148999997</v>
      </c>
      <c r="G21" s="1096">
        <v>133.66057360000002</v>
      </c>
      <c r="H21" s="1096">
        <v>118.83982137000001</v>
      </c>
      <c r="I21" s="1096">
        <v>137.64851306000003</v>
      </c>
      <c r="J21" s="1096">
        <v>136.87422038</v>
      </c>
      <c r="K21" s="1096">
        <v>173.11605715999997</v>
      </c>
      <c r="L21" s="1097">
        <v>87.124577569999985</v>
      </c>
      <c r="M21" s="1098">
        <v>135.38180042000002</v>
      </c>
      <c r="N21" s="1096">
        <v>126.72266217000001</v>
      </c>
      <c r="O21" s="1096">
        <v>148.18319165999904</v>
      </c>
      <c r="P21" s="1096">
        <v>137.03560002</v>
      </c>
      <c r="Q21" s="1096">
        <v>148.43833829999846</v>
      </c>
      <c r="R21" s="1099">
        <f>Q21-P21</f>
        <v>11.402738279998459</v>
      </c>
      <c r="S21" s="466"/>
      <c r="T21" s="318"/>
      <c r="U21" s="318"/>
      <c r="V21" s="318"/>
      <c r="W21" s="318"/>
      <c r="X21" s="318"/>
      <c r="Y21" s="318"/>
      <c r="Z21" s="318"/>
      <c r="AA21" s="318"/>
      <c r="AB21" s="318"/>
      <c r="AC21" s="318"/>
      <c r="AD21" s="318"/>
      <c r="AE21" s="318"/>
      <c r="AF21" s="318"/>
      <c r="AG21" s="318"/>
      <c r="AH21" s="318"/>
      <c r="AI21" s="318"/>
      <c r="AJ21" s="318"/>
    </row>
    <row r="22" spans="2:36" s="169" customFormat="1" ht="15" customHeight="1">
      <c r="C22" s="1741" t="str">
        <f>IF(Indice_index!$Z$1=1,"AL","LG")</f>
        <v>LG</v>
      </c>
      <c r="D22" s="1087" t="str">
        <f>IF(Indice_index!$Z$1=1,"Aquisição de Bens e Serviços","Goods and Services Acquisition")</f>
        <v>Goods and Services Acquisition</v>
      </c>
      <c r="E22" s="1100">
        <v>388.10950063000001</v>
      </c>
      <c r="F22" s="1100">
        <v>388.10950063000001</v>
      </c>
      <c r="G22" s="1100">
        <v>388.10950063000001</v>
      </c>
      <c r="H22" s="1100">
        <v>388.10950063000001</v>
      </c>
      <c r="I22" s="1100">
        <v>388.10950063000001</v>
      </c>
      <c r="J22" s="1100">
        <v>388.10950063000001</v>
      </c>
      <c r="K22" s="1100">
        <v>388.10950063000001</v>
      </c>
      <c r="L22" s="1101">
        <v>388.10950063000001</v>
      </c>
      <c r="M22" s="1102">
        <v>388.10950063000001</v>
      </c>
      <c r="N22" s="1100">
        <v>388.10950063000001</v>
      </c>
      <c r="O22" s="1100">
        <v>388.10950063000001</v>
      </c>
      <c r="P22" s="1100">
        <v>388.10950063000001</v>
      </c>
      <c r="Q22" s="1101">
        <v>388.10950063000001</v>
      </c>
      <c r="R22" s="1095">
        <f t="shared" si="0"/>
        <v>0</v>
      </c>
      <c r="S22" s="466"/>
      <c r="T22" s="170"/>
      <c r="U22" s="170"/>
      <c r="V22" s="170"/>
      <c r="W22" s="170"/>
      <c r="X22" s="170"/>
      <c r="Y22" s="170"/>
      <c r="Z22" s="170"/>
      <c r="AA22" s="170"/>
      <c r="AB22" s="170"/>
      <c r="AC22" s="170"/>
      <c r="AD22" s="170"/>
      <c r="AE22" s="170"/>
      <c r="AF22" s="170"/>
      <c r="AG22" s="170"/>
      <c r="AH22" s="170"/>
      <c r="AI22" s="170"/>
      <c r="AJ22" s="170"/>
    </row>
    <row r="23" spans="2:36" s="169" customFormat="1" ht="15" customHeight="1">
      <c r="C23" s="1742"/>
      <c r="D23" s="1087" t="str">
        <f>IF(Indice_index!$Z$1=1,"Aquisição Bens de Capital","Capital Goods Acquisition")</f>
        <v>Capital Goods Acquisition</v>
      </c>
      <c r="E23" s="1100">
        <v>168.30329104000006</v>
      </c>
      <c r="F23" s="1100">
        <v>168.30329104000006</v>
      </c>
      <c r="G23" s="1100">
        <v>168.30329104000006</v>
      </c>
      <c r="H23" s="1100">
        <v>168.30329104</v>
      </c>
      <c r="I23" s="1100">
        <v>168.30329104</v>
      </c>
      <c r="J23" s="1100">
        <v>168.30329104</v>
      </c>
      <c r="K23" s="1100">
        <v>168.30329104</v>
      </c>
      <c r="L23" s="1101">
        <v>168.30329104</v>
      </c>
      <c r="M23" s="1102">
        <v>168.30329104</v>
      </c>
      <c r="N23" s="1100">
        <v>168.30329104</v>
      </c>
      <c r="O23" s="1100">
        <v>168.30329104</v>
      </c>
      <c r="P23" s="1100">
        <v>168.30329104</v>
      </c>
      <c r="Q23" s="1101">
        <v>168.30329104</v>
      </c>
      <c r="R23" s="1095">
        <f t="shared" si="0"/>
        <v>0</v>
      </c>
      <c r="S23" s="466"/>
      <c r="T23" s="170"/>
      <c r="AA23" s="18"/>
      <c r="AB23" s="18"/>
      <c r="AC23" s="18"/>
    </row>
    <row r="24" spans="2:36" s="169" customFormat="1" ht="15" customHeight="1">
      <c r="C24" s="1742"/>
      <c r="D24" s="1087" t="str">
        <f>IF(Indice_index!$Z$1=1,"Transferências para AP","Transfers inside GG")</f>
        <v>Transfers inside GG</v>
      </c>
      <c r="E24" s="1100">
        <v>16.80015461</v>
      </c>
      <c r="F24" s="1100">
        <v>16.80015461</v>
      </c>
      <c r="G24" s="1100">
        <v>16.80015461</v>
      </c>
      <c r="H24" s="1100">
        <v>16.80015461</v>
      </c>
      <c r="I24" s="1100">
        <v>16.80015461</v>
      </c>
      <c r="J24" s="1100">
        <v>16.80015461</v>
      </c>
      <c r="K24" s="1100">
        <v>16.80015461</v>
      </c>
      <c r="L24" s="1101">
        <v>16.80015461</v>
      </c>
      <c r="M24" s="1102">
        <v>16.80015461</v>
      </c>
      <c r="N24" s="1100">
        <v>16.80015461</v>
      </c>
      <c r="O24" s="1100">
        <v>16.80015461</v>
      </c>
      <c r="P24" s="1100">
        <v>16.80015461</v>
      </c>
      <c r="Q24" s="1101">
        <v>16.80015461</v>
      </c>
      <c r="R24" s="1095">
        <f>Q24-P24</f>
        <v>0</v>
      </c>
      <c r="S24" s="466"/>
      <c r="T24" s="170"/>
      <c r="AA24" s="18"/>
      <c r="AB24" s="18"/>
      <c r="AC24" s="18"/>
    </row>
    <row r="25" spans="2:36" s="169" customFormat="1" ht="15" customHeight="1">
      <c r="C25" s="1742"/>
      <c r="D25" s="1087" t="str">
        <f>IF(Indice_index!$Z$1=1,"Transferências para fora das AP","Transfers outside GG")</f>
        <v>Transfers outside GG</v>
      </c>
      <c r="E25" s="1100">
        <v>20.146202589999994</v>
      </c>
      <c r="F25" s="1100">
        <v>20.146202589999994</v>
      </c>
      <c r="G25" s="1100">
        <v>20.146202589999994</v>
      </c>
      <c r="H25" s="1100">
        <v>20.146202590000001</v>
      </c>
      <c r="I25" s="1100">
        <v>20.146202590000001</v>
      </c>
      <c r="J25" s="1100">
        <v>20.146202590000001</v>
      </c>
      <c r="K25" s="1100">
        <v>20.146202590000001</v>
      </c>
      <c r="L25" s="1101">
        <v>20.146202590000001</v>
      </c>
      <c r="M25" s="1102">
        <v>20.146202590000001</v>
      </c>
      <c r="N25" s="1100">
        <v>20.146202590000001</v>
      </c>
      <c r="O25" s="1100">
        <v>20.146202590000001</v>
      </c>
      <c r="P25" s="1100">
        <v>20.146202590000001</v>
      </c>
      <c r="Q25" s="1101">
        <v>20.146202590000001</v>
      </c>
      <c r="R25" s="1095">
        <f t="shared" si="0"/>
        <v>0</v>
      </c>
      <c r="S25" s="466"/>
      <c r="T25" s="170"/>
      <c r="U25" s="170"/>
      <c r="AA25" s="18"/>
      <c r="AB25" s="18"/>
      <c r="AC25" s="18"/>
    </row>
    <row r="26" spans="2:36" s="169" customFormat="1" ht="15" customHeight="1">
      <c r="C26" s="1743"/>
      <c r="D26" s="1087" t="str">
        <f>IF(Indice_index!$Z$1=1,"Outras","Others")</f>
        <v>Others</v>
      </c>
      <c r="E26" s="1100">
        <v>309.55365149000011</v>
      </c>
      <c r="F26" s="1103">
        <v>309.55365149000011</v>
      </c>
      <c r="G26" s="1103">
        <v>309.55365149000011</v>
      </c>
      <c r="H26" s="1103">
        <v>309.55365148999999</v>
      </c>
      <c r="I26" s="1103">
        <v>309.55365148999999</v>
      </c>
      <c r="J26" s="1100">
        <v>309.55365148999999</v>
      </c>
      <c r="K26" s="1103">
        <v>309.55365148999999</v>
      </c>
      <c r="L26" s="1101">
        <v>309.55365148999999</v>
      </c>
      <c r="M26" s="1102">
        <v>309.55365148999999</v>
      </c>
      <c r="N26" s="1103">
        <v>309.55365148999999</v>
      </c>
      <c r="O26" s="1103">
        <v>309.55365148999999</v>
      </c>
      <c r="P26" s="1100">
        <v>309.55365148999999</v>
      </c>
      <c r="Q26" s="1101">
        <v>309.55365148999999</v>
      </c>
      <c r="R26" s="1095">
        <f t="shared" si="0"/>
        <v>0</v>
      </c>
      <c r="S26" s="466"/>
      <c r="T26" s="170"/>
      <c r="U26" s="170"/>
      <c r="AA26" s="18"/>
      <c r="AB26" s="18"/>
      <c r="AC26" s="18"/>
    </row>
    <row r="27" spans="2:36" s="317" customFormat="1" ht="15" customHeight="1">
      <c r="C27" s="1744" t="str">
        <f>IF(Indice_index!$Z$1=1,"Total da Administração Local","Local Government - Total")</f>
        <v>Local Government - Total</v>
      </c>
      <c r="D27" s="1744"/>
      <c r="E27" s="1096">
        <v>902.91280036000023</v>
      </c>
      <c r="F27" s="1096">
        <v>902.91280036000023</v>
      </c>
      <c r="G27" s="1096">
        <v>902.91280036000023</v>
      </c>
      <c r="H27" s="1096">
        <v>902.91280036000012</v>
      </c>
      <c r="I27" s="1096">
        <v>902.91280036000012</v>
      </c>
      <c r="J27" s="1096">
        <v>902.91280036000012</v>
      </c>
      <c r="K27" s="1096">
        <v>902.91280036000012</v>
      </c>
      <c r="L27" s="1097">
        <v>902.91280036000012</v>
      </c>
      <c r="M27" s="1098">
        <v>902.91280036000012</v>
      </c>
      <c r="N27" s="1096">
        <v>902.91280036000012</v>
      </c>
      <c r="O27" s="1096">
        <v>902.91280036000012</v>
      </c>
      <c r="P27" s="1096">
        <v>902.91280036000012</v>
      </c>
      <c r="Q27" s="1096">
        <v>902.91280036000012</v>
      </c>
      <c r="R27" s="1099">
        <f>Q27-P27</f>
        <v>0</v>
      </c>
      <c r="S27" s="466"/>
      <c r="T27" s="318"/>
      <c r="U27" s="318"/>
      <c r="AA27" s="250"/>
      <c r="AB27" s="250"/>
      <c r="AC27" s="250"/>
    </row>
    <row r="28" spans="2:36" s="317" customFormat="1" ht="15" customHeight="1">
      <c r="C28" s="1744" t="str">
        <f>IF(Indice_index!$Z$1=1,"Total das Administrações Públicas","General Government - Total")</f>
        <v>General Government - Total</v>
      </c>
      <c r="D28" s="1744"/>
      <c r="E28" s="1096">
        <f t="shared" ref="E28:K28" si="1">E27+E21+E15</f>
        <v>1652.9514627900003</v>
      </c>
      <c r="F28" s="1096">
        <f t="shared" si="1"/>
        <v>1652.8511935299998</v>
      </c>
      <c r="G28" s="1096">
        <f t="shared" si="1"/>
        <v>1604.7740047700001</v>
      </c>
      <c r="H28" s="1096">
        <f t="shared" si="1"/>
        <v>1606.1538800600006</v>
      </c>
      <c r="I28" s="1096">
        <f t="shared" si="1"/>
        <v>1579.9519465499998</v>
      </c>
      <c r="J28" s="1096">
        <f t="shared" si="1"/>
        <v>1566.9674578999998</v>
      </c>
      <c r="K28" s="1096">
        <f t="shared" si="1"/>
        <v>1866.9991713599998</v>
      </c>
      <c r="L28" s="1097">
        <f>L27+L21+L15</f>
        <v>1349.35393165</v>
      </c>
      <c r="M28" s="1098">
        <f t="shared" ref="M28:P28" si="2">M27+M21+M15</f>
        <v>1038.2946007800001</v>
      </c>
      <c r="N28" s="1096">
        <f t="shared" si="2"/>
        <v>1029.63546253</v>
      </c>
      <c r="O28" s="1096">
        <f t="shared" si="2"/>
        <v>1051.0959920199991</v>
      </c>
      <c r="P28" s="1096">
        <f t="shared" si="2"/>
        <v>1039.9484003800001</v>
      </c>
      <c r="Q28" s="1096">
        <f t="shared" ref="Q28" si="3">Q27+Q21+Q15</f>
        <v>1051.3511386599985</v>
      </c>
      <c r="R28" s="1099">
        <f>Q28-P28</f>
        <v>11.402738279998403</v>
      </c>
      <c r="S28" s="466"/>
      <c r="T28" s="318"/>
      <c r="U28" s="318"/>
      <c r="AA28" s="250"/>
      <c r="AB28" s="250"/>
      <c r="AC28" s="250"/>
    </row>
    <row r="29" spans="2:36" s="317" customFormat="1" ht="4.5" customHeight="1">
      <c r="C29" s="1104"/>
      <c r="D29" s="1104"/>
      <c r="E29" s="1105"/>
      <c r="F29" s="1105"/>
      <c r="G29" s="1105"/>
      <c r="H29" s="1105"/>
      <c r="I29" s="1105"/>
      <c r="J29" s="1105"/>
      <c r="K29" s="1105"/>
      <c r="L29" s="1105"/>
      <c r="M29" s="1105"/>
      <c r="N29" s="1105"/>
      <c r="O29" s="1105"/>
      <c r="P29" s="1105"/>
      <c r="Q29" s="1105"/>
      <c r="R29" s="1105"/>
      <c r="S29" s="466"/>
      <c r="T29" s="318"/>
      <c r="U29" s="318"/>
      <c r="AA29" s="250"/>
      <c r="AB29" s="250"/>
      <c r="AC29" s="250"/>
    </row>
    <row r="30" spans="2:36" s="169" customFormat="1" ht="15" customHeight="1">
      <c r="B30" s="343"/>
      <c r="C30" s="1106"/>
      <c r="D30" s="1107" t="str">
        <f>IF(Indice_index!$Z$1=1,"Notas:","Notes:")</f>
        <v>Notes:</v>
      </c>
      <c r="E30" s="1108"/>
      <c r="F30" s="1108"/>
      <c r="G30" s="1108"/>
      <c r="H30" s="1108"/>
      <c r="I30" s="1108"/>
      <c r="J30" s="1108"/>
      <c r="K30" s="1108"/>
      <c r="L30" s="1108"/>
      <c r="M30" s="1108"/>
      <c r="N30" s="1108"/>
      <c r="O30" s="1108"/>
      <c r="P30" s="1108"/>
      <c r="Q30" s="1108"/>
      <c r="S30" s="465"/>
      <c r="T30" s="170"/>
      <c r="U30" s="170"/>
      <c r="V30" s="170"/>
      <c r="AB30" s="18"/>
      <c r="AC30" s="18"/>
      <c r="AD30" s="18"/>
    </row>
    <row r="31" spans="2:36" s="169" customFormat="1" ht="15" customHeight="1">
      <c r="B31" s="343"/>
      <c r="C31" s="1106"/>
      <c r="D31" s="1109" t="str">
        <f>IF(Indice_index!$Z$1=1,"Conceito de passivo não financeiro no âmbito da Lei de Compromissos e Pagamentos em Atraso (Lei n.º8/2012 de 21 de Fevereiro de 2012).","Definition of non financial liability according to the Law of Commitment and Arrears (Law no. 8/2012 of 21 February).")</f>
        <v>Definition of non financial liability according to the Law of Commitment and Arrears (Law no. 8/2012 of 21 February).</v>
      </c>
      <c r="S31" s="465"/>
      <c r="T31" s="170"/>
      <c r="U31" s="170"/>
      <c r="V31" s="170"/>
      <c r="AB31" s="18"/>
      <c r="AC31" s="18"/>
      <c r="AD31" s="18"/>
    </row>
    <row r="32" spans="2:36" s="169" customFormat="1" ht="15" customHeight="1">
      <c r="B32" s="343"/>
      <c r="C32" s="1106"/>
      <c r="D32" s="1110"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S32" s="465"/>
      <c r="T32" s="170"/>
      <c r="U32" s="170"/>
      <c r="V32" s="170"/>
      <c r="AB32" s="18"/>
      <c r="AC32" s="18"/>
      <c r="AD32" s="18"/>
    </row>
    <row r="33" spans="2:30" s="169" customFormat="1" ht="15" customHeight="1">
      <c r="B33" s="343"/>
      <c r="C33" s="1106"/>
      <c r="D33" s="1109" t="str">
        <f>IF(Indice_index!$Z$1=1,"AC: Exclui a contribuição financeira para EU, pelo facto de a mesma não ser considerada em dívida ","CG:Excludes financial contribution to EU, as it is not considered to be in debt.")</f>
        <v>CG:Excludes financial contribution to EU, as it is not considered to be in debt.</v>
      </c>
      <c r="S33" s="465"/>
      <c r="T33" s="170"/>
      <c r="U33" s="170"/>
      <c r="V33" s="170"/>
      <c r="AB33" s="18"/>
      <c r="AC33" s="18"/>
      <c r="AD33" s="18"/>
    </row>
    <row r="34" spans="2:30" s="169" customFormat="1" ht="15" customHeight="1">
      <c r="B34" s="343"/>
      <c r="C34" s="1106"/>
      <c r="D34" s="1109" t="str">
        <f>IF(Indice_index!$Z$1=1,"AC: Dados revistos em dez-21 CGE e março 2022.","CG: Revised data for dec-21 and march 22")</f>
        <v>CG: Revised data for dec-21 and march 22</v>
      </c>
      <c r="S34" s="465"/>
      <c r="T34" s="170"/>
      <c r="U34" s="170"/>
      <c r="V34" s="170"/>
      <c r="AB34" s="18"/>
      <c r="AC34" s="18"/>
      <c r="AD34" s="18"/>
    </row>
    <row r="35" spans="2:30" ht="15" customHeight="1">
      <c r="D35" s="1111"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Source: Budget General Directorate, DGAL, Azores Autonomous Region Budget and Treasury Regional Directorate and Madeira Autonomous Region Budget and Treasury Regional Directorate.</v>
      </c>
      <c r="S35" s="112"/>
      <c r="T35" s="170"/>
      <c r="U35" s="170"/>
      <c r="V35" s="170"/>
      <c r="W35" s="169"/>
      <c r="X35" s="169"/>
      <c r="Y35" s="169"/>
      <c r="Z35" s="169"/>
      <c r="AA35" s="169"/>
      <c r="AB35" s="18"/>
      <c r="AC35" s="18"/>
    </row>
    <row r="36" spans="2:30">
      <c r="D36" s="1109"/>
      <c r="S36" s="112"/>
      <c r="T36" s="170"/>
      <c r="U36" s="170"/>
      <c r="V36" s="170"/>
      <c r="W36" s="169"/>
      <c r="X36" s="169"/>
      <c r="Y36" s="169"/>
      <c r="Z36" s="169"/>
      <c r="AA36" s="169"/>
      <c r="AB36" s="18"/>
      <c r="AC36" s="18"/>
    </row>
    <row r="37" spans="2:30" ht="15" customHeight="1">
      <c r="S37" s="112"/>
      <c r="T37" s="1750"/>
      <c r="U37" s="1750"/>
      <c r="V37" s="1750"/>
      <c r="W37" s="1750"/>
      <c r="X37" s="1750"/>
      <c r="Y37" s="1750"/>
      <c r="Z37" s="1750"/>
      <c r="AA37" s="1750"/>
      <c r="AB37" s="1750"/>
      <c r="AC37" s="1750"/>
    </row>
    <row r="38" spans="2:30" ht="15" customHeight="1">
      <c r="D38" s="1111"/>
      <c r="S38" s="112"/>
      <c r="T38" s="1750"/>
      <c r="U38" s="1750"/>
      <c r="V38" s="1750"/>
      <c r="W38" s="1750"/>
      <c r="X38" s="1750"/>
      <c r="Y38" s="1750"/>
      <c r="Z38" s="1750"/>
      <c r="AA38" s="1750"/>
      <c r="AB38" s="1750"/>
      <c r="AC38" s="1750"/>
    </row>
    <row r="39" spans="2:30" ht="15" customHeight="1">
      <c r="D39" s="1112"/>
      <c r="S39" s="112"/>
      <c r="T39" s="1750"/>
      <c r="U39" s="1750"/>
      <c r="V39" s="1750"/>
      <c r="W39" s="1750"/>
      <c r="X39" s="1750"/>
      <c r="Y39" s="1750"/>
      <c r="Z39" s="1750"/>
      <c r="AA39" s="1750"/>
      <c r="AB39" s="1750"/>
      <c r="AC39" s="1750"/>
    </row>
    <row r="40" spans="2:30" s="252" customFormat="1" ht="15" customHeight="1">
      <c r="D40" s="1077" t="str">
        <f>IF(Indice_index!$Z$1=1,"Pagamentos em atraso (dívidas por pagar há mais de 90 dias) - Stock em fim de período (consolidado)","Arrears (overdue for more than 90 days) - Stock in the end of the period (consolidated)")</f>
        <v>Arrears (overdue for more than 90 days) - Stock in the end of the period (consolidated)</v>
      </c>
      <c r="S40" s="467"/>
      <c r="U40" s="317"/>
      <c r="V40" s="317"/>
      <c r="W40" s="317"/>
      <c r="X40" s="317"/>
      <c r="Y40" s="317"/>
    </row>
    <row r="41" spans="2:30" s="242" customFormat="1" ht="15" customHeight="1">
      <c r="D41" s="1113"/>
      <c r="R41" s="1080" t="str">
        <f>IF(Indice_index!$Z$1=1,"€ Milhões","€ Millions")</f>
        <v>€ Millions</v>
      </c>
      <c r="S41" s="468"/>
      <c r="U41" s="344"/>
      <c r="V41" s="344"/>
      <c r="W41" s="344"/>
      <c r="X41" s="344"/>
      <c r="Y41" s="344"/>
    </row>
    <row r="42" spans="2:30" ht="15.75" customHeight="1">
      <c r="D42" s="1751" t="s">
        <v>10</v>
      </c>
      <c r="E42" s="1745">
        <v>2021</v>
      </c>
      <c r="F42" s="1746"/>
      <c r="G42" s="1746"/>
      <c r="H42" s="1746"/>
      <c r="I42" s="1746"/>
      <c r="J42" s="1746"/>
      <c r="K42" s="1746"/>
      <c r="L42" s="1747"/>
      <c r="M42" s="1748">
        <v>2022</v>
      </c>
      <c r="N42" s="1746"/>
      <c r="O42" s="1746"/>
      <c r="P42" s="1746"/>
      <c r="Q42" s="1747"/>
      <c r="R42" s="1753" t="str">
        <f>IF(Indice_index!$Z$1=1,"variação mensal","monthly variation")</f>
        <v>monthly variation</v>
      </c>
      <c r="S42" s="97"/>
      <c r="W42" s="169"/>
      <c r="AB42" s="138"/>
      <c r="AC42" s="138"/>
      <c r="AD42" s="138"/>
    </row>
    <row r="43" spans="2:30" ht="15" customHeight="1">
      <c r="D43" s="1752"/>
      <c r="E43" s="1082" t="str">
        <f>IF(Indice_index!$Z$1=1,"mai*","May*")</f>
        <v>May*</v>
      </c>
      <c r="F43" s="1082" t="str">
        <f>IF(Indice_index!$Z$1=1,"jun*","June*")</f>
        <v>June*</v>
      </c>
      <c r="G43" s="1083" t="str">
        <f>IF(Indice_index!$Z$1=1,"jul*","July*")</f>
        <v>July*</v>
      </c>
      <c r="H43" s="1083" t="str">
        <f>IF(Indice_index!$Z$1=1,"ago*","Aug*")</f>
        <v>Aug*</v>
      </c>
      <c r="I43" s="1083" t="str">
        <f>IF(Indice_index!$Z$1=1,"set*","Sep* ")</f>
        <v xml:space="preserve">Sep* </v>
      </c>
      <c r="J43" s="1084" t="str">
        <f>IF(Indice_index!$Z$1=1,"out*","Oct*")</f>
        <v>Oct*</v>
      </c>
      <c r="K43" s="1085" t="str">
        <f>IF(Indice_index!$Z$1=1,"nov*","Nov*")</f>
        <v>Nov*</v>
      </c>
      <c r="L43" s="1086" t="str">
        <f>IF(Indice_index!$Z$1=1,"dez*","Dec*")</f>
        <v>Dec*</v>
      </c>
      <c r="M43" s="1081" t="str">
        <f>IF(Indice_index!$Z$1=1,"jan*","Jan*")</f>
        <v>Jan*</v>
      </c>
      <c r="N43" s="1082" t="str">
        <f>IF(Indice_index!$Z$1=1,"fev*","Feb*")</f>
        <v>Feb*</v>
      </c>
      <c r="O43" s="1081" t="str">
        <f>IF(Indice_index!$Z$1=1,"mar*","Mar*")</f>
        <v>Mar*</v>
      </c>
      <c r="P43" s="1081" t="str">
        <f>IF(Indice_index!$Z$1=1,"abr*","Apr*")</f>
        <v>Apr*</v>
      </c>
      <c r="Q43" s="1082" t="str">
        <f>IF(Indice_index!$Z$1=1,"mai*","May*")</f>
        <v>May*</v>
      </c>
      <c r="R43" s="1754"/>
      <c r="S43" s="97"/>
      <c r="AB43" s="138"/>
      <c r="AC43" s="138"/>
      <c r="AD43" s="138"/>
    </row>
    <row r="44" spans="2:30" s="252" customFormat="1" ht="15" customHeight="1">
      <c r="D44" s="1114" t="str">
        <f>IF(Indice_index!$Z$1=1,"Administrações Públicas","General Government")</f>
        <v>General Government</v>
      </c>
      <c r="E44" s="1115">
        <f t="shared" ref="E44:O44" si="4">SUM(E45:E50)</f>
        <v>717.40545263999979</v>
      </c>
      <c r="F44" s="1115">
        <f t="shared" si="4"/>
        <v>832.32761126000014</v>
      </c>
      <c r="G44" s="1115">
        <f t="shared" si="4"/>
        <v>903.53940754999996</v>
      </c>
      <c r="H44" s="1115">
        <f t="shared" si="4"/>
        <v>620.06983939999998</v>
      </c>
      <c r="I44" s="1115">
        <f t="shared" si="4"/>
        <v>694.13873754999997</v>
      </c>
      <c r="J44" s="1115">
        <f t="shared" si="4"/>
        <v>778.70614314000011</v>
      </c>
      <c r="K44" s="1115">
        <f t="shared" si="4"/>
        <v>890.29381393999995</v>
      </c>
      <c r="L44" s="1116">
        <f t="shared" si="4"/>
        <v>299.69229142</v>
      </c>
      <c r="M44" s="1115">
        <f t="shared" si="4"/>
        <v>414.17678900000004</v>
      </c>
      <c r="N44" s="1115">
        <f t="shared" si="4"/>
        <v>459.98346831000003</v>
      </c>
      <c r="O44" s="1115">
        <f t="shared" si="4"/>
        <v>506.87780213999997</v>
      </c>
      <c r="P44" s="1115">
        <f>SUM(P45:P50)</f>
        <v>601.76228319000029</v>
      </c>
      <c r="Q44" s="1116">
        <f>SUM(Q45:Q50)</f>
        <v>699.17713006000008</v>
      </c>
      <c r="R44" s="1117">
        <f t="shared" ref="R44:R51" si="5">Q44-P44</f>
        <v>97.414846869999792</v>
      </c>
      <c r="S44" s="603"/>
    </row>
    <row r="45" spans="2:30" ht="15" customHeight="1">
      <c r="D45" s="1118" t="str">
        <f>IF(Indice_index!$Z$1=1,"Admin. Central excl. Subs. Saúde","Central Government excl. Health Subsector")</f>
        <v>Central Government excl. Health Subsector</v>
      </c>
      <c r="E45" s="1092">
        <v>37.7749132</v>
      </c>
      <c r="F45" s="1092">
        <v>39.031126749999999</v>
      </c>
      <c r="G45" s="1092">
        <v>40.633416909999994</v>
      </c>
      <c r="H45" s="1092">
        <v>40.753960579999998</v>
      </c>
      <c r="I45" s="1092">
        <v>39.921979499999999</v>
      </c>
      <c r="J45" s="1092">
        <v>42.312871560000005</v>
      </c>
      <c r="K45" s="1092">
        <v>39.732900179999994</v>
      </c>
      <c r="L45" s="1093">
        <v>28.38489285</v>
      </c>
      <c r="M45" s="1092">
        <v>28.561460530000002</v>
      </c>
      <c r="N45" s="1092">
        <v>29.94680211</v>
      </c>
      <c r="O45" s="1092">
        <v>32.38113551</v>
      </c>
      <c r="P45" s="1092">
        <v>34.539867620000003</v>
      </c>
      <c r="Q45" s="1093">
        <v>40.794076220000001</v>
      </c>
      <c r="R45" s="1119">
        <f t="shared" si="5"/>
        <v>6.2542085999999983</v>
      </c>
      <c r="S45" s="603"/>
      <c r="AB45" s="138"/>
      <c r="AC45" s="138"/>
      <c r="AD45" s="138"/>
    </row>
    <row r="46" spans="2:30" ht="15" customHeight="1">
      <c r="D46" s="1118" t="str">
        <f>IF(Indice_index!$Z$1=1,"Subsector da Saúde","Health Subsector")</f>
        <v>Health Subsector</v>
      </c>
      <c r="E46" s="1092">
        <v>5.3344395600000025</v>
      </c>
      <c r="F46" s="1092">
        <v>5.7779336100000025</v>
      </c>
      <c r="G46" s="1092">
        <v>7.8012746600000034</v>
      </c>
      <c r="H46" s="1092">
        <v>4.9123088799999977</v>
      </c>
      <c r="I46" s="1092">
        <v>5.0538588799999884</v>
      </c>
      <c r="J46" s="1092">
        <v>5.562945459999999</v>
      </c>
      <c r="K46" s="1092">
        <v>6.4107240000000001</v>
      </c>
      <c r="L46" s="1093">
        <v>2.7758071000000006</v>
      </c>
      <c r="M46" s="1092">
        <v>5.6885438100000032</v>
      </c>
      <c r="N46" s="1092">
        <v>4.34703807</v>
      </c>
      <c r="O46" s="1092">
        <v>5.1372461500000002</v>
      </c>
      <c r="P46" s="1092">
        <v>4.0887002799999985</v>
      </c>
      <c r="Q46" s="1093">
        <v>5.1863336100000037</v>
      </c>
      <c r="R46" s="1119">
        <f t="shared" si="5"/>
        <v>1.0976333300000052</v>
      </c>
      <c r="S46" s="603"/>
      <c r="AB46" s="138"/>
      <c r="AC46" s="138"/>
      <c r="AD46" s="138"/>
    </row>
    <row r="47" spans="2:30" ht="15" customHeight="1">
      <c r="D47" s="1118" t="str">
        <f>IF(Indice_index!$Z$1=1,"Hospitais EPE","HNS - EPE Hospitals")</f>
        <v>HNS - EPE Hospitals</v>
      </c>
      <c r="E47" s="1092">
        <v>480.5971686499999</v>
      </c>
      <c r="F47" s="1092">
        <v>599.65968077000014</v>
      </c>
      <c r="G47" s="1092">
        <v>667.03014743999995</v>
      </c>
      <c r="H47" s="1092">
        <v>388.6669637199999</v>
      </c>
      <c r="I47" s="1092">
        <v>467.73029874000002</v>
      </c>
      <c r="J47" s="1092">
        <v>553.43802757000014</v>
      </c>
      <c r="K47" s="1092">
        <v>668.15637400000003</v>
      </c>
      <c r="L47" s="1093">
        <v>107.16077557000001</v>
      </c>
      <c r="M47" s="1092">
        <v>210.44059844</v>
      </c>
      <c r="N47" s="1092">
        <v>253.03455969999999</v>
      </c>
      <c r="O47" s="1092">
        <v>303.91595169999994</v>
      </c>
      <c r="P47" s="1092">
        <v>390.4383427599999</v>
      </c>
      <c r="Q47" s="1093">
        <v>469.09213459000006</v>
      </c>
      <c r="R47" s="1119">
        <f t="shared" si="5"/>
        <v>78.653791830000159</v>
      </c>
      <c r="S47" s="603"/>
      <c r="AB47" s="138"/>
      <c r="AC47" s="138"/>
      <c r="AD47" s="138"/>
    </row>
    <row r="48" spans="2:30" ht="15" customHeight="1">
      <c r="D48" s="1118" t="str">
        <f>IF(Indice_index!$Z$1=1,"Empresas Públicas Reclassificadas","Reclassified Public Enterprises")</f>
        <v>Reclassified Public Enterprises</v>
      </c>
      <c r="E48" s="1092">
        <v>20.380853049999946</v>
      </c>
      <c r="F48" s="1092">
        <v>17.156393770000054</v>
      </c>
      <c r="G48" s="1092">
        <v>17.185386150000053</v>
      </c>
      <c r="H48" s="1092">
        <v>17.242098590000055</v>
      </c>
      <c r="I48" s="1092">
        <v>14.308865779999993</v>
      </c>
      <c r="J48" s="1092">
        <v>20.931860779999994</v>
      </c>
      <c r="K48" s="1092">
        <v>22.96524037999999</v>
      </c>
      <c r="L48" s="1093">
        <v>12.762309</v>
      </c>
      <c r="M48" s="1092">
        <v>12.762309</v>
      </c>
      <c r="N48" s="1092">
        <v>12.762309</v>
      </c>
      <c r="O48" s="1092">
        <v>12.762309</v>
      </c>
      <c r="P48" s="1092">
        <v>14.36457812000002</v>
      </c>
      <c r="Q48" s="1093">
        <v>16.55391013000002</v>
      </c>
      <c r="R48" s="1119">
        <f t="shared" si="5"/>
        <v>2.1893320099999993</v>
      </c>
      <c r="S48" s="603"/>
      <c r="AB48" s="138"/>
      <c r="AC48" s="138"/>
      <c r="AD48" s="138"/>
    </row>
    <row r="49" spans="3:30" ht="15" customHeight="1">
      <c r="D49" s="1118" t="str">
        <f>IF(Indice_index!$Z$1=1,"Administração Local","Local Government")</f>
        <v>Local Government</v>
      </c>
      <c r="E49" s="1120">
        <v>56.810747100000007</v>
      </c>
      <c r="F49" s="1120">
        <v>56.810747100000007</v>
      </c>
      <c r="G49" s="1120">
        <v>56.810747100000007</v>
      </c>
      <c r="H49" s="1120">
        <v>56.810747100000007</v>
      </c>
      <c r="I49" s="1120">
        <v>56.810747100000007</v>
      </c>
      <c r="J49" s="1120">
        <v>56.810747100000007</v>
      </c>
      <c r="K49" s="1120">
        <v>56.810747100000007</v>
      </c>
      <c r="L49" s="1121">
        <v>56.810747100000007</v>
      </c>
      <c r="M49" s="1120">
        <v>56.810747100000007</v>
      </c>
      <c r="N49" s="1120">
        <v>56.810747100000007</v>
      </c>
      <c r="O49" s="1120">
        <v>56.810747100000007</v>
      </c>
      <c r="P49" s="1120">
        <v>56.810747100000007</v>
      </c>
      <c r="Q49" s="1121">
        <v>56.810747100000007</v>
      </c>
      <c r="R49" s="1122">
        <f t="shared" si="5"/>
        <v>0</v>
      </c>
      <c r="S49" s="603"/>
      <c r="AB49" s="138"/>
      <c r="AC49" s="138"/>
      <c r="AD49" s="138"/>
    </row>
    <row r="50" spans="3:30" ht="15" customHeight="1">
      <c r="D50" s="1118" t="str">
        <f>IF(Indice_index!$Z$1=1,"Administração Regional","Regional Government")</f>
        <v>Regional Government</v>
      </c>
      <c r="E50" s="1092">
        <v>116.50733107999999</v>
      </c>
      <c r="F50" s="1092">
        <v>113.89172925999999</v>
      </c>
      <c r="G50" s="1092">
        <v>114.07843528999997</v>
      </c>
      <c r="H50" s="1092">
        <v>111.68376053000001</v>
      </c>
      <c r="I50" s="1092">
        <v>110.31298755</v>
      </c>
      <c r="J50" s="1092">
        <v>99.649690670000012</v>
      </c>
      <c r="K50" s="1092">
        <v>96.217828280000006</v>
      </c>
      <c r="L50" s="1093">
        <v>91.79775979999998</v>
      </c>
      <c r="M50" s="1092">
        <v>99.913130120000005</v>
      </c>
      <c r="N50" s="1092">
        <v>103.08201233000001</v>
      </c>
      <c r="O50" s="1092">
        <v>95.870412680000044</v>
      </c>
      <c r="P50" s="1092">
        <v>101.52004731000035</v>
      </c>
      <c r="Q50" s="1093">
        <v>110.73992841000005</v>
      </c>
      <c r="R50" s="1122">
        <f t="shared" si="5"/>
        <v>9.2198810999996965</v>
      </c>
      <c r="S50" s="603"/>
      <c r="AB50" s="138"/>
      <c r="AC50" s="138"/>
      <c r="AD50" s="138"/>
    </row>
    <row r="51" spans="3:30" s="252" customFormat="1" ht="15" customHeight="1">
      <c r="D51" s="1123" t="str">
        <f>IF(Indice_index!$Z$1=1,"Outras Entidades","Other Entities")</f>
        <v>Other Entities</v>
      </c>
      <c r="E51" s="1124">
        <f>E52</f>
        <v>0.44664528999999997</v>
      </c>
      <c r="F51" s="1124">
        <f t="shared" ref="F51:Q51" si="6">F52</f>
        <v>0.44664528999999997</v>
      </c>
      <c r="G51" s="1124">
        <f t="shared" si="6"/>
        <v>0.44664528999999997</v>
      </c>
      <c r="H51" s="1124">
        <f t="shared" si="6"/>
        <v>0.44664528999999997</v>
      </c>
      <c r="I51" s="1124">
        <f t="shared" si="6"/>
        <v>0.44664528999999997</v>
      </c>
      <c r="J51" s="1124">
        <f t="shared" si="6"/>
        <v>0.44664528999999997</v>
      </c>
      <c r="K51" s="1124">
        <f t="shared" si="6"/>
        <v>0.44664528999999997</v>
      </c>
      <c r="L51" s="1125">
        <f t="shared" si="6"/>
        <v>0.44664528999999997</v>
      </c>
      <c r="M51" s="1124">
        <f t="shared" si="6"/>
        <v>0.44664528999999997</v>
      </c>
      <c r="N51" s="1124">
        <f t="shared" si="6"/>
        <v>0.44664528999999997</v>
      </c>
      <c r="O51" s="1124">
        <f>O52</f>
        <v>0.44664528999999997</v>
      </c>
      <c r="P51" s="1124">
        <f t="shared" si="6"/>
        <v>0.44664528999999997</v>
      </c>
      <c r="Q51" s="1126">
        <f t="shared" si="6"/>
        <v>0.44664528999999997</v>
      </c>
      <c r="R51" s="1127">
        <f t="shared" si="5"/>
        <v>0</v>
      </c>
      <c r="S51" s="603"/>
    </row>
    <row r="52" spans="3:30" ht="15" customHeight="1">
      <c r="D52" s="1118" t="str">
        <f>IF(Indice_index!$Z$1=1,"Empr. Públicas Não Reclassificadas","Non-reclassified Public Enterprises")</f>
        <v>Non-reclassified Public Enterprises</v>
      </c>
      <c r="E52" s="1128">
        <v>0.44664528999999997</v>
      </c>
      <c r="F52" s="1128">
        <v>0.44664528999999997</v>
      </c>
      <c r="G52" s="1129">
        <v>0.44664528999999997</v>
      </c>
      <c r="H52" s="1129">
        <v>0.44664528999999997</v>
      </c>
      <c r="I52" s="1129">
        <v>0.44664528999999997</v>
      </c>
      <c r="J52" s="1128">
        <v>0.44664528999999997</v>
      </c>
      <c r="K52" s="1129">
        <v>0.44664528999999997</v>
      </c>
      <c r="L52" s="1130">
        <v>0.44664528999999997</v>
      </c>
      <c r="M52" s="1128">
        <v>0.44664528999999997</v>
      </c>
      <c r="N52" s="1128">
        <v>0.44664528999999997</v>
      </c>
      <c r="O52" s="1128">
        <v>0.44664528999999997</v>
      </c>
      <c r="P52" s="1128">
        <v>0.44664528999999997</v>
      </c>
      <c r="Q52" s="1130">
        <v>0.44664528999999997</v>
      </c>
      <c r="R52" s="1131">
        <f>Q52-P52</f>
        <v>0</v>
      </c>
      <c r="S52" s="603"/>
      <c r="AB52" s="138"/>
      <c r="AC52" s="138"/>
      <c r="AD52" s="138"/>
    </row>
    <row r="53" spans="3:30" s="252" customFormat="1" ht="15" customHeight="1">
      <c r="D53" s="1132" t="str">
        <f>IF(Indice_index!$Z$1=1,"Total","Total")</f>
        <v>Total</v>
      </c>
      <c r="E53" s="1133">
        <f>E51+E44</f>
        <v>717.85209792999979</v>
      </c>
      <c r="F53" s="1133">
        <f t="shared" ref="F53:M53" si="7">F51+F44</f>
        <v>832.77425655000013</v>
      </c>
      <c r="G53" s="1133">
        <f t="shared" si="7"/>
        <v>903.98605283999996</v>
      </c>
      <c r="H53" s="1133">
        <f t="shared" si="7"/>
        <v>620.51648468999997</v>
      </c>
      <c r="I53" s="1133">
        <f t="shared" si="7"/>
        <v>694.58538283999997</v>
      </c>
      <c r="J53" s="1133">
        <f t="shared" si="7"/>
        <v>779.1527884300001</v>
      </c>
      <c r="K53" s="1133">
        <f t="shared" si="7"/>
        <v>890.74045922999994</v>
      </c>
      <c r="L53" s="1134">
        <f t="shared" si="7"/>
        <v>300.13893671</v>
      </c>
      <c r="M53" s="1133">
        <f t="shared" si="7"/>
        <v>414.62343429000003</v>
      </c>
      <c r="N53" s="1133">
        <f>N51+N44</f>
        <v>460.43011360000003</v>
      </c>
      <c r="O53" s="1133">
        <f>O51+O44</f>
        <v>507.32444742999996</v>
      </c>
      <c r="P53" s="1133">
        <f>P51+P44</f>
        <v>602.20892848000028</v>
      </c>
      <c r="Q53" s="1134">
        <f>Q51+Q44</f>
        <v>699.62377535000007</v>
      </c>
      <c r="R53" s="1135">
        <f>Q53-P53</f>
        <v>97.414846869999792</v>
      </c>
      <c r="S53" s="603"/>
      <c r="U53" s="317"/>
    </row>
    <row r="54" spans="3:30" s="252" customFormat="1" ht="4.5" customHeight="1">
      <c r="D54" s="1136"/>
      <c r="E54" s="1137"/>
      <c r="F54" s="1137"/>
      <c r="G54" s="1137"/>
      <c r="H54" s="1137"/>
      <c r="I54" s="1137"/>
      <c r="J54" s="1137"/>
      <c r="K54" s="1137"/>
      <c r="L54" s="1137"/>
      <c r="M54" s="1137"/>
      <c r="N54" s="1137"/>
      <c r="O54" s="1137"/>
      <c r="P54" s="1137"/>
      <c r="Q54" s="1137"/>
      <c r="R54" s="1137"/>
      <c r="S54" s="251"/>
      <c r="U54" s="317"/>
    </row>
    <row r="55" spans="3:30" ht="15" customHeight="1">
      <c r="D55" s="1138" t="str">
        <f>IF(Indice_index!$Z$1=1,"Notas:","Notes:")</f>
        <v>Notes:</v>
      </c>
      <c r="E55" s="1139"/>
      <c r="F55" s="1139"/>
      <c r="K55" s="1139"/>
      <c r="R55" s="1139"/>
      <c r="S55" s="97"/>
      <c r="U55" s="169"/>
      <c r="AB55" s="138"/>
      <c r="AC55" s="138"/>
      <c r="AD55" s="138"/>
    </row>
    <row r="56" spans="3:30" ht="15" customHeight="1">
      <c r="D56" s="1139" t="str">
        <f>IF(Indice_index!$Z$1=1,"Conceito de pagamentos em atraso no âmbito da Lei de Compromissos e Pagamentos em Atraso (Lei n.º8/2012 de 21 de Fevereiro de 2012).","Definition of arrears according to the Law of Commitment and Arrears (Law no. 8/2012 of 21 February).")</f>
        <v>Definition of arrears according to the Law of Commitment and Arrears (Law no. 8/2012 of 21 February).</v>
      </c>
      <c r="E56" s="1139"/>
      <c r="F56" s="1139"/>
      <c r="K56" s="1139"/>
      <c r="R56" s="1139"/>
      <c r="S56" s="97"/>
      <c r="U56" s="169"/>
      <c r="AB56" s="138"/>
      <c r="AC56" s="138"/>
      <c r="AD56" s="138"/>
    </row>
    <row r="57" spans="3:30" ht="15" customHeight="1">
      <c r="D57" s="1110" t="str">
        <f>IF(Indice_index!$Z$1=1,"AL(*): Considerou-se o stock de dezembro 2019, para efeitos de análise.","LG(*): December 2019 stock was considered for analysis purposes was considered for the purpose of analysis.")</f>
        <v>LG(*): December 2019 stock was considered for analysis purposes was considered for the purpose of analysis.</v>
      </c>
      <c r="E57" s="1139"/>
      <c r="F57" s="1139"/>
      <c r="G57" s="1139"/>
      <c r="L57" s="1139"/>
      <c r="R57" s="1139"/>
      <c r="S57" s="97"/>
      <c r="U57" s="169"/>
      <c r="AB57" s="138"/>
      <c r="AC57" s="138"/>
      <c r="AD57" s="138"/>
    </row>
    <row r="58" spans="3:30" s="1623" customFormat="1" ht="12.75" customHeight="1">
      <c r="D58" s="1109" t="str">
        <f>IF(Indice_index!$Z$1=1,"EPR: Dados revistos em dez.21 e de jan. a abril 2022.","RE: Revised data for dec21 and Jan. to Apr. 22")</f>
        <v>RE: Revised data for dec21 and Jan. to Apr. 22</v>
      </c>
      <c r="E58" s="1139"/>
      <c r="F58" s="1139"/>
      <c r="G58" s="1139"/>
      <c r="H58" s="138"/>
      <c r="I58" s="138"/>
      <c r="J58" s="138"/>
      <c r="K58" s="138"/>
      <c r="L58" s="1139"/>
      <c r="M58" s="138"/>
      <c r="N58" s="138"/>
      <c r="O58" s="138"/>
      <c r="P58" s="138"/>
      <c r="Q58" s="138"/>
      <c r="R58" s="1139"/>
      <c r="U58" s="1624"/>
    </row>
    <row r="59" spans="3:30" ht="15" customHeight="1">
      <c r="D59" s="1749"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Source: Compiled by DGO on data collected by DGAL, DGO,  Azores Autonomous Region Budget and Treasury Regional Directorate and Madeira Autonomous Region Budget and Treasury Regional Directorate.</v>
      </c>
      <c r="E59" s="1749"/>
      <c r="F59" s="1749"/>
      <c r="G59" s="1749"/>
      <c r="H59" s="1749"/>
      <c r="I59" s="1749"/>
      <c r="J59" s="1749"/>
      <c r="K59" s="1749"/>
      <c r="L59" s="1749"/>
      <c r="M59" s="1749"/>
      <c r="N59" s="1749"/>
      <c r="O59" s="1749"/>
      <c r="P59" s="1749"/>
      <c r="Q59" s="1749"/>
      <c r="R59" s="1749"/>
      <c r="S59" s="97"/>
    </row>
    <row r="60" spans="3:30">
      <c r="C60" s="97"/>
      <c r="D60" s="97"/>
      <c r="E60" s="97"/>
      <c r="F60" s="97"/>
      <c r="G60" s="97"/>
      <c r="H60" s="97"/>
      <c r="I60" s="97"/>
      <c r="J60" s="97"/>
      <c r="K60" s="97"/>
      <c r="L60" s="97"/>
      <c r="M60" s="97"/>
      <c r="N60" s="97"/>
      <c r="O60" s="97"/>
      <c r="P60" s="97"/>
      <c r="Q60" s="97"/>
      <c r="R60" s="97"/>
    </row>
    <row r="62" spans="3:30">
      <c r="E62" s="335"/>
      <c r="F62" s="335"/>
      <c r="G62" s="335"/>
      <c r="H62" s="335"/>
      <c r="I62" s="335"/>
      <c r="J62" s="335"/>
      <c r="K62" s="335"/>
      <c r="L62" s="335"/>
      <c r="M62" s="335"/>
      <c r="N62" s="335"/>
      <c r="O62" s="335"/>
      <c r="P62" s="335"/>
    </row>
    <row r="63" spans="3:30">
      <c r="E63" s="335"/>
      <c r="F63" s="335"/>
      <c r="G63" s="335"/>
      <c r="H63" s="335"/>
      <c r="I63" s="335"/>
      <c r="J63" s="335"/>
      <c r="K63" s="335"/>
      <c r="L63" s="335"/>
      <c r="M63" s="335"/>
      <c r="N63" s="335"/>
      <c r="O63" s="335"/>
    </row>
  </sheetData>
  <mergeCells count="17">
    <mergeCell ref="D59:R59"/>
    <mergeCell ref="T37:AC39"/>
    <mergeCell ref="C21:D21"/>
    <mergeCell ref="C22:C26"/>
    <mergeCell ref="C27:D27"/>
    <mergeCell ref="C28:D28"/>
    <mergeCell ref="D42:D43"/>
    <mergeCell ref="R42:R43"/>
    <mergeCell ref="E42:L42"/>
    <mergeCell ref="M42:Q42"/>
    <mergeCell ref="R8:R9"/>
    <mergeCell ref="C8:D9"/>
    <mergeCell ref="C10:C14"/>
    <mergeCell ref="C15:D15"/>
    <mergeCell ref="C16:C20"/>
    <mergeCell ref="E8:L8"/>
    <mergeCell ref="M8:Q8"/>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A1:AP601"/>
  <sheetViews>
    <sheetView showGridLines="0" zoomScaleNormal="100" zoomScaleSheetLayoutView="100" workbookViewId="0">
      <selection activeCell="B2" sqref="B2"/>
    </sheetView>
  </sheetViews>
  <sheetFormatPr defaultColWidth="6.5703125" defaultRowHeight="12"/>
  <cols>
    <col min="1" max="1" width="2.5703125" style="62" customWidth="1"/>
    <col min="2" max="2" width="4.42578125" style="62" customWidth="1"/>
    <col min="3" max="3" width="5.42578125" style="62" customWidth="1"/>
    <col min="4" max="4" width="9.5703125" style="62" customWidth="1"/>
    <col min="5" max="5" width="11" style="62" customWidth="1"/>
    <col min="6" max="6" width="9.42578125" style="62" customWidth="1"/>
    <col min="7" max="7" width="11" style="62" customWidth="1"/>
    <col min="8" max="8" width="9.5703125" style="62" customWidth="1"/>
    <col min="9" max="9" width="10.85546875" style="62" customWidth="1"/>
    <col min="10" max="10" width="9.85546875" style="62" customWidth="1"/>
    <col min="11" max="11" width="9.42578125" style="62" customWidth="1"/>
    <col min="12" max="12" width="10.140625" style="172" customWidth="1"/>
    <col min="13" max="13" width="9.42578125" style="172" customWidth="1"/>
    <col min="14" max="14" width="9.5703125" style="172" customWidth="1"/>
    <col min="15" max="15" width="10" style="172" customWidth="1"/>
    <col min="16" max="16" width="10.42578125" style="172" customWidth="1"/>
    <col min="17" max="17" width="13" style="62" customWidth="1"/>
    <col min="18" max="18" width="8.5703125" style="62" customWidth="1"/>
    <col min="19" max="19" width="7.5703125" style="62" customWidth="1"/>
    <col min="20" max="20" width="8.85546875" style="62" customWidth="1"/>
    <col min="21" max="21" width="11.5703125" style="62" customWidth="1"/>
    <col min="22" max="22" width="8.140625" style="62" customWidth="1"/>
    <col min="23" max="23" width="13" style="62" customWidth="1"/>
    <col min="24" max="24" width="9.140625" style="50" customWidth="1"/>
    <col min="25" max="25" width="10.85546875" style="50" customWidth="1"/>
    <col min="26" max="26" width="9.140625" style="50" customWidth="1"/>
    <col min="27" max="27" width="9.140625" style="171" customWidth="1"/>
    <col min="28" max="29" width="6.5703125" style="62"/>
    <col min="30" max="30" width="7" style="62" bestFit="1" customWidth="1"/>
    <col min="31" max="31" width="6.5703125" style="62" bestFit="1" customWidth="1"/>
    <col min="32" max="34" width="7" style="62" bestFit="1" customWidth="1"/>
    <col min="35" max="35" width="6.5703125" style="62" bestFit="1" customWidth="1"/>
    <col min="36" max="37" width="7" style="62" bestFit="1" customWidth="1"/>
    <col min="38" max="38" width="6.5703125" style="62" bestFit="1" customWidth="1"/>
    <col min="39" max="41" width="7" style="62" bestFit="1" customWidth="1"/>
    <col min="42" max="16384" width="6.5703125" style="62"/>
  </cols>
  <sheetData>
    <row r="1" spans="2:34" s="50" customFormat="1" ht="15" customHeight="1">
      <c r="B1" s="49"/>
      <c r="H1" s="156"/>
      <c r="I1" s="156"/>
    </row>
    <row r="2" spans="2:34" ht="24" customHeight="1">
      <c r="B2" s="8"/>
      <c r="C2" s="51" t="str">
        <f>IF(Indice_index!$Z$1=1,"19 - Indicadores Físicos e Financeiros do Sistema de Proteção Social da Função Pública","19 - Public Servants Social Scheme - Flows")</f>
        <v>19 - Public Servants Social Scheme - Flows</v>
      </c>
      <c r="D2" s="51"/>
      <c r="E2" s="51"/>
      <c r="F2" s="51"/>
      <c r="G2" s="51"/>
      <c r="H2" s="51"/>
      <c r="I2" s="51"/>
      <c r="J2" s="51"/>
      <c r="K2" s="51"/>
      <c r="L2" s="51"/>
      <c r="M2" s="51"/>
      <c r="N2" s="51"/>
      <c r="O2" s="51"/>
      <c r="P2" s="51"/>
      <c r="X2" s="81"/>
      <c r="Z2" s="81"/>
    </row>
    <row r="3" spans="2:34" ht="15" customHeight="1">
      <c r="C3" s="230"/>
      <c r="D3" s="230"/>
      <c r="E3" s="230"/>
      <c r="F3" s="230"/>
      <c r="G3" s="230"/>
      <c r="H3" s="230"/>
      <c r="I3" s="230"/>
      <c r="J3" s="230"/>
      <c r="K3" s="230"/>
      <c r="X3" s="81"/>
    </row>
    <row r="4" spans="2:34" ht="15" customHeight="1">
      <c r="C4" s="230"/>
      <c r="D4" s="230"/>
      <c r="E4" s="230"/>
      <c r="F4" s="230"/>
      <c r="G4" s="230"/>
      <c r="H4" s="230"/>
      <c r="I4" s="230"/>
      <c r="J4" s="230"/>
      <c r="K4" s="230"/>
    </row>
    <row r="5" spans="2:34" s="243" customFormat="1" ht="15" customHeight="1">
      <c r="C5" s="1191" t="str">
        <f>IF(Indice_index!$Z$1=1,"Pensionistas","Pensioners")</f>
        <v>Pensioners</v>
      </c>
      <c r="D5" s="452"/>
      <c r="E5" s="452"/>
      <c r="F5" s="452"/>
      <c r="G5" s="452"/>
      <c r="H5" s="1192"/>
      <c r="I5" s="1192"/>
      <c r="J5" s="1192"/>
      <c r="K5" s="1193" t="str">
        <f>IF(Indice_index!$Z$1=1,"Subscritores","Subscribers")</f>
        <v>Subscribers</v>
      </c>
      <c r="L5" s="1192"/>
      <c r="M5" s="1192"/>
      <c r="N5" s="1192"/>
      <c r="O5" s="1192"/>
      <c r="P5" s="1192"/>
      <c r="Q5" s="452"/>
      <c r="X5" s="241"/>
      <c r="Y5" s="241"/>
      <c r="Z5" s="241"/>
      <c r="AA5" s="244"/>
    </row>
    <row r="6" spans="2:34" s="230" customFormat="1" ht="11.25" customHeight="1">
      <c r="C6" s="1194"/>
      <c r="D6" s="1195"/>
      <c r="E6" s="1757" t="str">
        <f>IF(Indice_index!$Z$1=1,"Número","Number")</f>
        <v>Number</v>
      </c>
      <c r="F6" s="1757"/>
      <c r="G6" s="1757"/>
      <c r="H6" s="1757"/>
      <c r="I6" s="1759" t="str">
        <f>IF(Indice_index!$Z$1=1,"Valor médio pago por pensionista (€)","Average Value paid per Pensioner (€)")</f>
        <v>Average Value paid per Pensioner (€)</v>
      </c>
      <c r="K6" s="1760" t="str">
        <f>IF(Indice_index!$Z$1=1,"Número","Number")</f>
        <v>Number</v>
      </c>
      <c r="R6" s="50"/>
      <c r="S6" s="50"/>
      <c r="T6" s="50"/>
      <c r="U6" s="171"/>
    </row>
    <row r="7" spans="2:34" s="230" customFormat="1" ht="33.75">
      <c r="C7" s="1196"/>
      <c r="D7" s="1197"/>
      <c r="E7" s="1198" t="str">
        <f>IF(Indice_index!$Z$1=1,"Velhice e Outros Motivos","Old age and other Reasons")</f>
        <v>Old age and other Reasons</v>
      </c>
      <c r="F7" s="1199" t="str">
        <f>IF(Indice_index!$Z$1=1,"Invalidez","Disability")</f>
        <v>Disability</v>
      </c>
      <c r="G7" s="1198" t="str">
        <f>IF(Indice_index!$Z$1=1,"Sobrevivência e Outros","Survival and Others")</f>
        <v>Survival and Others</v>
      </c>
      <c r="H7" s="1198" t="str">
        <f>IF(Indice_index!$Z$1=1,"Total de Pensionistas","Total of Pensioners")</f>
        <v>Total of Pensioners</v>
      </c>
      <c r="I7" s="1759"/>
      <c r="K7" s="1761"/>
      <c r="R7" s="50"/>
      <c r="S7" s="50"/>
      <c r="T7" s="50"/>
      <c r="U7" s="171"/>
    </row>
    <row r="8" spans="2:34" s="230" customFormat="1" hidden="1">
      <c r="C8" s="1200" t="s">
        <v>11</v>
      </c>
      <c r="D8" s="1201"/>
      <c r="E8" s="173"/>
      <c r="F8" s="173"/>
      <c r="G8" s="173"/>
      <c r="H8" s="173"/>
      <c r="I8" s="172"/>
      <c r="K8" s="172"/>
      <c r="R8" s="50"/>
      <c r="S8" s="50"/>
      <c r="T8" s="50"/>
      <c r="U8" s="171"/>
      <c r="V8" s="171"/>
      <c r="W8" s="171"/>
      <c r="X8" s="171"/>
      <c r="Y8" s="171"/>
      <c r="Z8" s="171"/>
      <c r="AA8" s="171"/>
      <c r="AB8" s="171"/>
      <c r="AC8" s="171"/>
      <c r="AD8" s="171"/>
      <c r="AE8" s="171"/>
      <c r="AF8" s="171"/>
      <c r="AG8" s="171"/>
      <c r="AH8" s="171"/>
    </row>
    <row r="9" spans="2:34" s="230" customFormat="1" hidden="1">
      <c r="C9" s="1200"/>
      <c r="D9" s="173" t="str">
        <f>IF(Indice_index!$Z$1=1,"janeiro","January")</f>
        <v>January</v>
      </c>
      <c r="E9" s="173">
        <v>378477</v>
      </c>
      <c r="F9" s="173">
        <v>75381</v>
      </c>
      <c r="G9" s="173">
        <v>138644</v>
      </c>
      <c r="H9" s="173">
        <v>592502</v>
      </c>
      <c r="I9" s="172">
        <v>1074.8</v>
      </c>
      <c r="K9" s="173">
        <v>556738</v>
      </c>
      <c r="R9" s="50"/>
      <c r="S9" s="50"/>
      <c r="T9" s="50"/>
      <c r="U9" s="171"/>
      <c r="V9" s="171"/>
      <c r="W9" s="171"/>
      <c r="X9" s="171"/>
      <c r="Y9" s="171"/>
      <c r="Z9" s="171"/>
      <c r="AA9" s="171"/>
      <c r="AB9" s="171"/>
      <c r="AC9" s="171"/>
      <c r="AD9" s="171"/>
      <c r="AE9" s="171"/>
      <c r="AF9" s="171"/>
      <c r="AG9" s="171"/>
      <c r="AH9" s="171"/>
    </row>
    <row r="10" spans="2:34" s="230" customFormat="1" hidden="1">
      <c r="C10" s="1200"/>
      <c r="D10" s="173" t="str">
        <f>IF(Indice_index!$Z$1=1,"fevereiro","February")</f>
        <v>February</v>
      </c>
      <c r="E10" s="173">
        <v>379557</v>
      </c>
      <c r="F10" s="173">
        <v>75384</v>
      </c>
      <c r="G10" s="173">
        <v>138827</v>
      </c>
      <c r="H10" s="173">
        <v>593768</v>
      </c>
      <c r="I10" s="172">
        <v>1080.9000000000001</v>
      </c>
      <c r="K10" s="173">
        <v>555064</v>
      </c>
      <c r="R10" s="50"/>
      <c r="S10" s="50"/>
      <c r="T10" s="50"/>
      <c r="U10" s="171"/>
      <c r="V10" s="171"/>
      <c r="W10" s="171"/>
      <c r="X10" s="171"/>
      <c r="Y10" s="171"/>
      <c r="Z10" s="171"/>
      <c r="AA10" s="171"/>
      <c r="AB10" s="171"/>
      <c r="AC10" s="171"/>
      <c r="AD10" s="171"/>
      <c r="AE10" s="171"/>
      <c r="AF10" s="171"/>
      <c r="AG10" s="171"/>
      <c r="AH10" s="171"/>
    </row>
    <row r="11" spans="2:34" s="230" customFormat="1" hidden="1">
      <c r="C11" s="1200"/>
      <c r="D11" s="173" t="str">
        <f>IF(Indice_index!$Z$1=1,"março","March")</f>
        <v>March</v>
      </c>
      <c r="E11" s="173">
        <v>380009</v>
      </c>
      <c r="F11" s="173">
        <v>75439</v>
      </c>
      <c r="G11" s="173">
        <v>139183</v>
      </c>
      <c r="H11" s="173">
        <v>594631</v>
      </c>
      <c r="I11" s="172">
        <v>1083.2</v>
      </c>
      <c r="K11" s="173">
        <v>550279</v>
      </c>
      <c r="R11" s="50"/>
      <c r="S11" s="50"/>
      <c r="T11" s="50"/>
      <c r="U11" s="171"/>
      <c r="V11" s="171"/>
      <c r="W11" s="171"/>
      <c r="X11" s="171"/>
      <c r="Y11" s="171"/>
      <c r="Z11" s="171"/>
      <c r="AA11" s="171"/>
      <c r="AB11" s="171"/>
      <c r="AC11" s="171"/>
      <c r="AD11" s="171"/>
      <c r="AE11" s="171"/>
      <c r="AF11" s="171"/>
      <c r="AG11" s="171"/>
      <c r="AH11" s="171"/>
    </row>
    <row r="12" spans="2:34" s="230" customFormat="1" hidden="1">
      <c r="C12" s="1200"/>
      <c r="D12" s="173" t="str">
        <f>IF(Indice_index!$Z$1=1,"abril","April")</f>
        <v>April</v>
      </c>
      <c r="E12" s="173">
        <v>380486</v>
      </c>
      <c r="F12" s="173">
        <v>75467</v>
      </c>
      <c r="G12" s="173">
        <v>139319</v>
      </c>
      <c r="H12" s="173">
        <v>595272</v>
      </c>
      <c r="I12" s="172">
        <v>1078.8</v>
      </c>
      <c r="K12" s="173">
        <v>548983</v>
      </c>
      <c r="R12" s="50"/>
      <c r="S12" s="50"/>
      <c r="T12" s="50"/>
      <c r="U12" s="171"/>
      <c r="V12" s="171"/>
      <c r="W12" s="171"/>
      <c r="X12" s="171"/>
      <c r="Y12" s="171"/>
      <c r="Z12" s="171"/>
      <c r="AA12" s="171"/>
      <c r="AB12" s="171"/>
      <c r="AC12" s="171"/>
      <c r="AD12" s="171"/>
      <c r="AE12" s="171"/>
      <c r="AF12" s="171"/>
      <c r="AG12" s="171"/>
      <c r="AH12" s="171"/>
    </row>
    <row r="13" spans="2:34" s="230" customFormat="1" hidden="1">
      <c r="C13" s="1200"/>
      <c r="D13" s="173" t="str">
        <f>IF(Indice_index!$Z$1=1,"maio","May")</f>
        <v>May</v>
      </c>
      <c r="E13" s="173">
        <v>381329</v>
      </c>
      <c r="F13" s="173">
        <v>75435</v>
      </c>
      <c r="G13" s="173">
        <v>139536</v>
      </c>
      <c r="H13" s="173">
        <v>596300</v>
      </c>
      <c r="I13" s="172">
        <v>1078.8</v>
      </c>
      <c r="K13" s="173">
        <v>547338</v>
      </c>
      <c r="R13" s="50"/>
      <c r="S13" s="50"/>
      <c r="T13" s="50"/>
      <c r="U13" s="171"/>
      <c r="V13" s="171"/>
      <c r="W13" s="171"/>
      <c r="X13" s="171"/>
      <c r="Y13" s="171"/>
      <c r="Z13" s="171"/>
      <c r="AA13" s="171"/>
      <c r="AB13" s="171"/>
      <c r="AC13" s="171"/>
      <c r="AD13" s="171"/>
      <c r="AE13" s="171"/>
      <c r="AF13" s="171"/>
      <c r="AG13" s="171"/>
      <c r="AH13" s="171"/>
    </row>
    <row r="14" spans="2:34" s="230" customFormat="1" hidden="1">
      <c r="C14" s="1200"/>
      <c r="D14" s="173" t="str">
        <f>IF(Indice_index!$Z$1=1,"junho","June")</f>
        <v>June</v>
      </c>
      <c r="E14" s="173">
        <v>382265</v>
      </c>
      <c r="F14" s="173">
        <v>75476</v>
      </c>
      <c r="G14" s="173">
        <v>139869</v>
      </c>
      <c r="H14" s="173">
        <v>597610</v>
      </c>
      <c r="I14" s="172">
        <v>1080.4000000000001</v>
      </c>
      <c r="K14" s="173">
        <v>545729</v>
      </c>
      <c r="R14" s="50"/>
      <c r="S14" s="50"/>
      <c r="T14" s="50"/>
      <c r="U14" s="171"/>
      <c r="V14" s="171"/>
      <c r="W14" s="171"/>
      <c r="X14" s="171"/>
      <c r="Y14" s="171"/>
      <c r="Z14" s="171"/>
      <c r="AA14" s="171"/>
      <c r="AB14" s="171"/>
      <c r="AC14" s="171"/>
      <c r="AD14" s="171"/>
      <c r="AE14" s="171"/>
      <c r="AF14" s="171"/>
      <c r="AG14" s="171"/>
      <c r="AH14" s="171"/>
    </row>
    <row r="15" spans="2:34" s="230" customFormat="1" hidden="1">
      <c r="C15" s="1200"/>
      <c r="D15" s="173" t="str">
        <f>IF(Indice_index!$Z$1=1,"julho","July")</f>
        <v>July</v>
      </c>
      <c r="E15" s="173">
        <v>383153</v>
      </c>
      <c r="F15" s="173">
        <v>75502</v>
      </c>
      <c r="G15" s="173">
        <v>140055</v>
      </c>
      <c r="H15" s="173">
        <v>598710</v>
      </c>
      <c r="I15" s="172">
        <v>1269.3</v>
      </c>
      <c r="K15" s="173">
        <v>544153</v>
      </c>
      <c r="R15" s="50"/>
      <c r="S15" s="50"/>
      <c r="T15" s="50"/>
      <c r="U15" s="171"/>
      <c r="V15" s="171"/>
      <c r="W15" s="171"/>
      <c r="X15" s="171"/>
      <c r="Y15" s="171"/>
      <c r="Z15" s="171"/>
      <c r="AA15" s="171"/>
      <c r="AB15" s="171"/>
      <c r="AC15" s="171"/>
      <c r="AD15" s="171"/>
      <c r="AE15" s="171"/>
      <c r="AF15" s="171"/>
      <c r="AG15" s="171"/>
      <c r="AH15" s="171"/>
    </row>
    <row r="16" spans="2:34" s="230" customFormat="1" hidden="1">
      <c r="C16" s="1200"/>
      <c r="D16" s="173" t="str">
        <f>IF(Indice_index!$Z$1=1,"agosto","August")</f>
        <v>August</v>
      </c>
      <c r="E16" s="173">
        <v>384236</v>
      </c>
      <c r="F16" s="173">
        <v>75505</v>
      </c>
      <c r="G16" s="173">
        <v>140413</v>
      </c>
      <c r="H16" s="173">
        <v>600154</v>
      </c>
      <c r="I16" s="172">
        <v>1077.3</v>
      </c>
      <c r="K16" s="173">
        <v>542325</v>
      </c>
      <c r="R16" s="50"/>
      <c r="S16" s="50"/>
      <c r="T16" s="50"/>
      <c r="U16" s="171"/>
      <c r="V16" s="171"/>
      <c r="W16" s="171"/>
      <c r="X16" s="171"/>
      <c r="Y16" s="171"/>
      <c r="Z16" s="171"/>
      <c r="AA16" s="171"/>
      <c r="AB16" s="171"/>
      <c r="AC16" s="171"/>
      <c r="AD16" s="171"/>
      <c r="AE16" s="171"/>
      <c r="AF16" s="171"/>
      <c r="AG16" s="171"/>
      <c r="AH16" s="171"/>
    </row>
    <row r="17" spans="3:34" s="230" customFormat="1" hidden="1">
      <c r="C17" s="1200"/>
      <c r="D17" s="173" t="str">
        <f>IF(Indice_index!$Z$1=1,"setembro","September")</f>
        <v>September</v>
      </c>
      <c r="E17" s="173">
        <v>385392</v>
      </c>
      <c r="F17" s="173">
        <v>75465</v>
      </c>
      <c r="G17" s="173">
        <v>140308</v>
      </c>
      <c r="H17" s="173">
        <v>601165</v>
      </c>
      <c r="I17" s="172">
        <v>1076.2</v>
      </c>
      <c r="K17" s="173">
        <v>537842</v>
      </c>
      <c r="R17" s="50"/>
      <c r="S17" s="50"/>
      <c r="T17" s="50"/>
      <c r="U17" s="171"/>
      <c r="V17" s="171"/>
      <c r="W17" s="171"/>
      <c r="X17" s="171"/>
      <c r="Y17" s="171"/>
      <c r="Z17" s="171"/>
      <c r="AA17" s="171"/>
      <c r="AB17" s="171"/>
      <c r="AC17" s="171"/>
      <c r="AD17" s="171"/>
      <c r="AE17" s="171"/>
      <c r="AF17" s="171"/>
      <c r="AG17" s="171"/>
      <c r="AH17" s="171"/>
    </row>
    <row r="18" spans="3:34" s="230" customFormat="1" hidden="1">
      <c r="C18" s="1200"/>
      <c r="D18" s="173" t="str">
        <f>IF(Indice_index!$Z$1=1,"outubro","October")</f>
        <v>October</v>
      </c>
      <c r="E18" s="173">
        <v>386355</v>
      </c>
      <c r="F18" s="173">
        <v>75419</v>
      </c>
      <c r="G18" s="173">
        <v>140373</v>
      </c>
      <c r="H18" s="173">
        <v>602147</v>
      </c>
      <c r="I18" s="172">
        <v>1085.5999999999999</v>
      </c>
      <c r="K18" s="173">
        <v>536095</v>
      </c>
      <c r="R18" s="50"/>
      <c r="S18" s="50"/>
      <c r="T18" s="50"/>
      <c r="U18" s="171"/>
      <c r="V18" s="171"/>
      <c r="W18" s="171"/>
      <c r="X18" s="171"/>
      <c r="Y18" s="171"/>
      <c r="Z18" s="171"/>
      <c r="AA18" s="171"/>
      <c r="AB18" s="171"/>
      <c r="AC18" s="171"/>
      <c r="AD18" s="171"/>
      <c r="AE18" s="171"/>
      <c r="AF18" s="171"/>
      <c r="AG18" s="171"/>
      <c r="AH18" s="171"/>
    </row>
    <row r="19" spans="3:34" s="230" customFormat="1" hidden="1">
      <c r="C19" s="1200"/>
      <c r="D19" s="173" t="str">
        <f>IF(Indice_index!$Z$1=1,"novembro","November")</f>
        <v>November</v>
      </c>
      <c r="E19" s="173">
        <v>386944</v>
      </c>
      <c r="F19" s="173">
        <v>75313</v>
      </c>
      <c r="G19" s="173">
        <v>140552</v>
      </c>
      <c r="H19" s="173">
        <v>602809</v>
      </c>
      <c r="I19" s="172">
        <v>1272.2</v>
      </c>
      <c r="K19" s="173">
        <v>534270</v>
      </c>
      <c r="R19" s="50"/>
      <c r="S19" s="50"/>
      <c r="T19" s="50"/>
      <c r="U19" s="171"/>
      <c r="V19" s="171"/>
      <c r="W19" s="171"/>
      <c r="X19" s="171"/>
      <c r="Y19" s="171"/>
      <c r="Z19" s="171"/>
      <c r="AA19" s="171"/>
      <c r="AB19" s="171"/>
      <c r="AC19" s="171"/>
      <c r="AD19" s="171"/>
      <c r="AE19" s="171"/>
      <c r="AF19" s="171"/>
      <c r="AG19" s="171"/>
      <c r="AH19" s="171"/>
    </row>
    <row r="20" spans="3:34" s="230" customFormat="1" hidden="1">
      <c r="C20" s="1200"/>
      <c r="D20" s="173" t="str">
        <f>IF(Indice_index!$Z$1=1,"dezembro","December")</f>
        <v>December</v>
      </c>
      <c r="E20" s="173">
        <v>387210</v>
      </c>
      <c r="F20" s="173">
        <v>75236</v>
      </c>
      <c r="G20" s="173">
        <v>140821</v>
      </c>
      <c r="H20" s="173">
        <v>603267</v>
      </c>
      <c r="I20" s="172">
        <v>1084.5</v>
      </c>
      <c r="K20" s="173">
        <v>531814</v>
      </c>
      <c r="R20" s="50"/>
      <c r="S20" s="50"/>
      <c r="T20" s="50"/>
      <c r="U20" s="171"/>
      <c r="V20" s="171"/>
      <c r="W20" s="171"/>
      <c r="X20" s="171"/>
      <c r="Y20" s="171"/>
      <c r="Z20" s="171"/>
      <c r="AA20" s="171"/>
      <c r="AB20" s="171"/>
      <c r="AC20" s="171"/>
      <c r="AD20" s="171"/>
      <c r="AE20" s="171"/>
      <c r="AF20" s="171"/>
      <c r="AG20" s="171"/>
      <c r="AH20" s="171"/>
    </row>
    <row r="21" spans="3:34" s="230" customFormat="1" hidden="1">
      <c r="C21" s="1200" t="s">
        <v>12</v>
      </c>
      <c r="D21" s="172"/>
      <c r="E21" s="173"/>
      <c r="F21" s="173"/>
      <c r="G21" s="173"/>
      <c r="H21" s="173"/>
      <c r="I21" s="172"/>
      <c r="K21" s="173"/>
      <c r="R21" s="50"/>
      <c r="S21" s="50"/>
      <c r="T21" s="50"/>
      <c r="U21" s="171"/>
      <c r="V21" s="171"/>
      <c r="W21" s="171"/>
      <c r="X21" s="171"/>
      <c r="Y21" s="171"/>
      <c r="Z21" s="171"/>
      <c r="AA21" s="171"/>
      <c r="AB21" s="171"/>
      <c r="AC21" s="171"/>
      <c r="AD21" s="171"/>
      <c r="AE21" s="171"/>
      <c r="AF21" s="171"/>
      <c r="AG21" s="171"/>
      <c r="AH21" s="171"/>
    </row>
    <row r="22" spans="3:34" s="230" customFormat="1" hidden="1">
      <c r="C22" s="1200"/>
      <c r="D22" s="173" t="str">
        <f>IF(Indice_index!$Z$1=1,"janeiro","January")</f>
        <v>January</v>
      </c>
      <c r="E22" s="173">
        <v>388145</v>
      </c>
      <c r="F22" s="173">
        <v>75252</v>
      </c>
      <c r="G22" s="173">
        <v>140963</v>
      </c>
      <c r="H22" s="173">
        <v>604360</v>
      </c>
      <c r="I22" s="172">
        <v>1077.0999999999999</v>
      </c>
      <c r="K22" s="173">
        <v>529560</v>
      </c>
      <c r="R22" s="50"/>
      <c r="S22" s="50"/>
      <c r="T22" s="50"/>
      <c r="U22" s="171"/>
      <c r="V22" s="171"/>
      <c r="W22" s="171"/>
      <c r="X22" s="171"/>
      <c r="Y22" s="171"/>
      <c r="Z22" s="171"/>
      <c r="AA22" s="171"/>
      <c r="AB22" s="171"/>
      <c r="AC22" s="171"/>
      <c r="AD22" s="171"/>
      <c r="AE22" s="171"/>
      <c r="AF22" s="171"/>
      <c r="AG22" s="171"/>
      <c r="AH22" s="171"/>
    </row>
    <row r="23" spans="3:34" s="230" customFormat="1" hidden="1">
      <c r="C23" s="1202"/>
      <c r="D23" s="173" t="str">
        <f>IF(Indice_index!$Z$1=1,"fevereiro","February")</f>
        <v>February</v>
      </c>
      <c r="E23" s="173">
        <v>388784</v>
      </c>
      <c r="F23" s="173">
        <v>75256</v>
      </c>
      <c r="G23" s="173">
        <v>141107</v>
      </c>
      <c r="H23" s="173">
        <v>605147</v>
      </c>
      <c r="I23" s="172">
        <v>1260</v>
      </c>
      <c r="K23" s="173">
        <v>528161</v>
      </c>
      <c r="R23" s="50"/>
      <c r="S23" s="50"/>
      <c r="T23" s="50"/>
      <c r="U23" s="171"/>
      <c r="V23" s="171"/>
      <c r="W23" s="171"/>
      <c r="X23" s="171"/>
      <c r="Y23" s="171"/>
      <c r="Z23" s="171"/>
      <c r="AA23" s="171"/>
      <c r="AB23" s="171"/>
      <c r="AC23" s="171"/>
      <c r="AD23" s="171"/>
      <c r="AE23" s="171"/>
      <c r="AF23" s="171"/>
      <c r="AG23" s="171"/>
      <c r="AH23" s="171"/>
    </row>
    <row r="24" spans="3:34" s="230" customFormat="1" hidden="1">
      <c r="C24" s="1202"/>
      <c r="D24" s="173" t="str">
        <f>IF(Indice_index!$Z$1=1,"março","March")</f>
        <v>March</v>
      </c>
      <c r="E24" s="173">
        <v>389591</v>
      </c>
      <c r="F24" s="173">
        <v>75178</v>
      </c>
      <c r="G24" s="173">
        <v>140973</v>
      </c>
      <c r="H24" s="173">
        <v>605742</v>
      </c>
      <c r="I24" s="172">
        <v>1167</v>
      </c>
      <c r="K24" s="173">
        <v>527141</v>
      </c>
      <c r="R24" s="50"/>
      <c r="S24" s="50"/>
      <c r="T24" s="50"/>
      <c r="U24" s="171"/>
      <c r="V24" s="171"/>
      <c r="W24" s="171"/>
      <c r="X24" s="171"/>
      <c r="Y24" s="171"/>
      <c r="Z24" s="171"/>
      <c r="AA24" s="171"/>
      <c r="AB24" s="171"/>
      <c r="AC24" s="171"/>
      <c r="AD24" s="171"/>
      <c r="AE24" s="171"/>
      <c r="AF24" s="171"/>
      <c r="AG24" s="171"/>
      <c r="AH24" s="171"/>
    </row>
    <row r="25" spans="3:34" s="230" customFormat="1" hidden="1">
      <c r="C25" s="1202"/>
      <c r="D25" s="173" t="str">
        <f>IF(Indice_index!$Z$1=1,"abril","April")</f>
        <v>April</v>
      </c>
      <c r="E25" s="173">
        <v>390630</v>
      </c>
      <c r="F25" s="173">
        <v>75166</v>
      </c>
      <c r="G25" s="173">
        <v>141087</v>
      </c>
      <c r="H25" s="173">
        <v>606883</v>
      </c>
      <c r="I25" s="172">
        <v>1175.7</v>
      </c>
      <c r="K25" s="173">
        <v>525479</v>
      </c>
      <c r="R25" s="50"/>
      <c r="S25" s="50"/>
      <c r="T25" s="50"/>
      <c r="U25" s="171"/>
      <c r="V25" s="171"/>
      <c r="W25" s="171"/>
      <c r="X25" s="171"/>
      <c r="Y25" s="171"/>
      <c r="Z25" s="171"/>
      <c r="AA25" s="171"/>
      <c r="AB25" s="171"/>
      <c r="AC25" s="171"/>
      <c r="AD25" s="171"/>
      <c r="AE25" s="171"/>
      <c r="AF25" s="171"/>
      <c r="AG25" s="171"/>
      <c r="AH25" s="171"/>
    </row>
    <row r="26" spans="3:34" s="230" customFormat="1" hidden="1">
      <c r="C26" s="1202"/>
      <c r="D26" s="173" t="str">
        <f>IF(Indice_index!$Z$1=1,"maio","May")</f>
        <v>May</v>
      </c>
      <c r="E26" s="173">
        <v>391666</v>
      </c>
      <c r="F26" s="173">
        <v>75184</v>
      </c>
      <c r="G26" s="173">
        <v>141293</v>
      </c>
      <c r="H26" s="173">
        <v>608143</v>
      </c>
      <c r="I26" s="172">
        <v>1168.3</v>
      </c>
      <c r="K26" s="173">
        <v>524195</v>
      </c>
      <c r="R26" s="50"/>
      <c r="S26" s="50"/>
      <c r="T26" s="50"/>
      <c r="U26" s="171"/>
      <c r="V26" s="171"/>
      <c r="W26" s="171"/>
      <c r="X26" s="171"/>
      <c r="Y26" s="171"/>
      <c r="Z26" s="171"/>
      <c r="AA26" s="171"/>
      <c r="AB26" s="171"/>
      <c r="AC26" s="171"/>
      <c r="AD26" s="171"/>
      <c r="AE26" s="171"/>
      <c r="AF26" s="171"/>
      <c r="AG26" s="171"/>
      <c r="AH26" s="171"/>
    </row>
    <row r="27" spans="3:34" s="230" customFormat="1" hidden="1">
      <c r="C27" s="1202"/>
      <c r="D27" s="173" t="str">
        <f>IF(Indice_index!$Z$1=1,"junho","June")</f>
        <v>June</v>
      </c>
      <c r="E27" s="173">
        <v>392161</v>
      </c>
      <c r="F27" s="173">
        <v>75379</v>
      </c>
      <c r="G27" s="173">
        <v>141509</v>
      </c>
      <c r="H27" s="173">
        <v>609049</v>
      </c>
      <c r="I27" s="172">
        <v>1168.9000000000001</v>
      </c>
      <c r="K27" s="173">
        <v>522518</v>
      </c>
      <c r="R27" s="50"/>
      <c r="S27" s="50"/>
      <c r="T27" s="50"/>
      <c r="U27" s="171"/>
      <c r="V27" s="171"/>
      <c r="W27" s="171"/>
      <c r="X27" s="171"/>
      <c r="Y27" s="171"/>
      <c r="Z27" s="171"/>
      <c r="AA27" s="171"/>
      <c r="AB27" s="171"/>
      <c r="AC27" s="171"/>
      <c r="AD27" s="171"/>
      <c r="AE27" s="171"/>
      <c r="AF27" s="171"/>
      <c r="AG27" s="171"/>
      <c r="AH27" s="171"/>
    </row>
    <row r="28" spans="3:34" s="230" customFormat="1" hidden="1">
      <c r="C28" s="1202"/>
      <c r="D28" s="173" t="str">
        <f>IF(Indice_index!$Z$1=1,"julho","July")</f>
        <v>July</v>
      </c>
      <c r="E28" s="173">
        <v>392681</v>
      </c>
      <c r="F28" s="173">
        <v>75366</v>
      </c>
      <c r="G28" s="173">
        <v>141588</v>
      </c>
      <c r="H28" s="173">
        <v>609635</v>
      </c>
      <c r="I28" s="172">
        <v>1455.6</v>
      </c>
      <c r="K28" s="173">
        <v>520906</v>
      </c>
      <c r="R28" s="50"/>
      <c r="S28" s="50"/>
      <c r="T28" s="50"/>
      <c r="U28" s="171"/>
      <c r="V28" s="171"/>
      <c r="W28" s="171"/>
      <c r="X28" s="171"/>
      <c r="Y28" s="171"/>
      <c r="Z28" s="171"/>
      <c r="AA28" s="171"/>
      <c r="AB28" s="171"/>
      <c r="AC28" s="171"/>
      <c r="AD28" s="171"/>
      <c r="AE28" s="171"/>
      <c r="AF28" s="171"/>
      <c r="AG28" s="171"/>
      <c r="AH28" s="171"/>
    </row>
    <row r="29" spans="3:34" s="230" customFormat="1" hidden="1">
      <c r="C29" s="1202"/>
      <c r="D29" s="173" t="str">
        <f>IF(Indice_index!$Z$1=1,"agosto","August")</f>
        <v>August</v>
      </c>
      <c r="E29" s="173">
        <v>392934</v>
      </c>
      <c r="F29" s="173">
        <v>75334</v>
      </c>
      <c r="G29" s="173">
        <v>141928</v>
      </c>
      <c r="H29" s="173">
        <v>610196</v>
      </c>
      <c r="I29" s="172">
        <v>1170</v>
      </c>
      <c r="K29" s="173">
        <v>518485</v>
      </c>
      <c r="R29" s="50"/>
      <c r="S29" s="50"/>
      <c r="T29" s="50"/>
      <c r="U29" s="171"/>
      <c r="V29" s="171"/>
      <c r="W29" s="171"/>
      <c r="X29" s="171"/>
      <c r="Y29" s="171"/>
      <c r="Z29" s="171"/>
      <c r="AA29" s="171"/>
      <c r="AB29" s="171"/>
      <c r="AC29" s="171"/>
      <c r="AD29" s="171"/>
      <c r="AE29" s="171"/>
      <c r="AF29" s="171"/>
      <c r="AG29" s="171"/>
      <c r="AH29" s="171"/>
    </row>
    <row r="30" spans="3:34" s="230" customFormat="1" hidden="1">
      <c r="C30" s="1202"/>
      <c r="D30" s="173" t="str">
        <f>IF(Indice_index!$Z$1=1,"setembro","September")</f>
        <v>September</v>
      </c>
      <c r="E30" s="173">
        <v>393003</v>
      </c>
      <c r="F30" s="173">
        <v>75221</v>
      </c>
      <c r="G30" s="173">
        <v>141747</v>
      </c>
      <c r="H30" s="173">
        <v>609971</v>
      </c>
      <c r="I30" s="172">
        <v>1168.3</v>
      </c>
      <c r="K30" s="173">
        <v>514324</v>
      </c>
      <c r="R30" s="50"/>
      <c r="S30" s="50"/>
      <c r="T30" s="50"/>
      <c r="U30" s="171"/>
      <c r="V30" s="171"/>
      <c r="W30" s="171"/>
      <c r="X30" s="171"/>
      <c r="Y30" s="171"/>
      <c r="Z30" s="171"/>
      <c r="AA30" s="171"/>
      <c r="AB30" s="171"/>
      <c r="AC30" s="171"/>
      <c r="AD30" s="171"/>
      <c r="AE30" s="171"/>
      <c r="AF30" s="171"/>
      <c r="AG30" s="171"/>
      <c r="AH30" s="171"/>
    </row>
    <row r="31" spans="3:34" s="230" customFormat="1" hidden="1">
      <c r="C31" s="1202"/>
      <c r="D31" s="173" t="str">
        <f>IF(Indice_index!$Z$1=1,"outubro","October")</f>
        <v>October</v>
      </c>
      <c r="E31" s="173">
        <v>393366</v>
      </c>
      <c r="F31" s="173">
        <v>75145</v>
      </c>
      <c r="G31" s="173">
        <v>141879</v>
      </c>
      <c r="H31" s="173">
        <v>610390</v>
      </c>
      <c r="I31" s="172">
        <v>1191.9000000000001</v>
      </c>
      <c r="K31" s="173">
        <v>512853</v>
      </c>
      <c r="R31" s="50"/>
      <c r="S31" s="50"/>
      <c r="T31" s="50"/>
      <c r="U31" s="171"/>
      <c r="V31" s="171"/>
      <c r="W31" s="171"/>
      <c r="X31" s="171"/>
      <c r="Y31" s="171"/>
      <c r="Z31" s="171"/>
      <c r="AA31" s="171"/>
      <c r="AB31" s="171"/>
      <c r="AC31" s="171"/>
      <c r="AD31" s="171"/>
      <c r="AE31" s="171"/>
      <c r="AF31" s="171"/>
      <c r="AG31" s="171"/>
      <c r="AH31" s="171"/>
    </row>
    <row r="32" spans="3:34" s="230" customFormat="1" hidden="1">
      <c r="C32" s="1202"/>
      <c r="D32" s="173" t="str">
        <f>IF(Indice_index!$Z$1=1,"novembro","November")</f>
        <v>November</v>
      </c>
      <c r="E32" s="173">
        <v>394675</v>
      </c>
      <c r="F32" s="173">
        <v>75318</v>
      </c>
      <c r="G32" s="173">
        <v>142341</v>
      </c>
      <c r="H32" s="173">
        <v>612334</v>
      </c>
      <c r="I32" s="172">
        <v>1947.9</v>
      </c>
      <c r="K32" s="173">
        <v>511640</v>
      </c>
      <c r="R32" s="50"/>
      <c r="S32" s="50"/>
      <c r="T32" s="50"/>
      <c r="U32" s="171"/>
      <c r="V32" s="171"/>
      <c r="W32" s="171"/>
      <c r="X32" s="171"/>
      <c r="Y32" s="171"/>
      <c r="Z32" s="171"/>
      <c r="AA32" s="171"/>
      <c r="AB32" s="171"/>
      <c r="AC32" s="171"/>
      <c r="AD32" s="171"/>
      <c r="AE32" s="171"/>
      <c r="AF32" s="171"/>
      <c r="AG32" s="171"/>
      <c r="AH32" s="171"/>
    </row>
    <row r="33" spans="3:34" s="230" customFormat="1" hidden="1">
      <c r="C33" s="1202"/>
      <c r="D33" s="173" t="str">
        <f>IF(Indice_index!$Z$1=1,"dezembro","December")</f>
        <v>December</v>
      </c>
      <c r="E33" s="173">
        <v>395901</v>
      </c>
      <c r="F33" s="173">
        <v>75248</v>
      </c>
      <c r="G33" s="173">
        <v>142747</v>
      </c>
      <c r="H33" s="173">
        <v>613896</v>
      </c>
      <c r="I33" s="172">
        <v>1179.4000000000001</v>
      </c>
      <c r="K33" s="173">
        <v>509869</v>
      </c>
      <c r="R33" s="50"/>
      <c r="S33" s="50"/>
      <c r="T33" s="50"/>
      <c r="U33" s="171"/>
      <c r="V33" s="171"/>
      <c r="W33" s="171"/>
      <c r="X33" s="171"/>
      <c r="Y33" s="171"/>
      <c r="Z33" s="171"/>
      <c r="AA33" s="171"/>
      <c r="AB33" s="171"/>
      <c r="AC33" s="171"/>
      <c r="AD33" s="171"/>
      <c r="AE33" s="171"/>
      <c r="AF33" s="171"/>
      <c r="AG33" s="171"/>
      <c r="AH33" s="171"/>
    </row>
    <row r="34" spans="3:34" s="230" customFormat="1" hidden="1">
      <c r="C34" s="1200" t="s">
        <v>13</v>
      </c>
      <c r="D34" s="173"/>
      <c r="E34" s="173"/>
      <c r="F34" s="173"/>
      <c r="G34" s="173"/>
      <c r="H34" s="173"/>
      <c r="I34" s="172"/>
      <c r="K34" s="172"/>
      <c r="R34" s="50"/>
      <c r="S34" s="50"/>
      <c r="T34" s="50"/>
      <c r="U34" s="171"/>
      <c r="V34" s="171"/>
      <c r="W34" s="171"/>
      <c r="X34" s="171"/>
      <c r="Y34" s="171"/>
      <c r="Z34" s="171"/>
      <c r="AA34" s="171"/>
      <c r="AB34" s="171"/>
      <c r="AC34" s="171"/>
      <c r="AD34" s="171"/>
      <c r="AE34" s="171"/>
      <c r="AF34" s="171"/>
      <c r="AG34" s="171"/>
      <c r="AH34" s="171"/>
    </row>
    <row r="35" spans="3:34" s="230" customFormat="1" hidden="1">
      <c r="C35" s="1202"/>
      <c r="D35" s="173" t="str">
        <f>IF(Indice_index!$Z$1=1,"janeiro","January")</f>
        <v>January</v>
      </c>
      <c r="E35" s="173">
        <v>396763</v>
      </c>
      <c r="F35" s="173">
        <v>75359</v>
      </c>
      <c r="G35" s="173">
        <v>142835</v>
      </c>
      <c r="H35" s="173">
        <v>614957</v>
      </c>
      <c r="I35" s="172">
        <v>1186.4000000000001</v>
      </c>
      <c r="K35" s="173">
        <v>506394</v>
      </c>
      <c r="R35" s="50"/>
      <c r="S35" s="50"/>
      <c r="T35" s="50"/>
      <c r="U35" s="171"/>
      <c r="V35" s="171"/>
      <c r="W35" s="171"/>
      <c r="X35" s="171"/>
      <c r="Y35" s="171"/>
      <c r="Z35" s="171"/>
      <c r="AA35" s="171"/>
      <c r="AB35" s="171"/>
      <c r="AC35" s="171"/>
      <c r="AD35" s="171"/>
      <c r="AE35" s="171"/>
      <c r="AF35" s="171"/>
      <c r="AG35" s="171"/>
      <c r="AH35" s="171"/>
    </row>
    <row r="36" spans="3:34" s="230" customFormat="1" hidden="1">
      <c r="C36" s="1202"/>
      <c r="D36" s="173" t="str">
        <f>IF(Indice_index!$Z$1=1,"fevereiro","February")</f>
        <v>February</v>
      </c>
      <c r="E36" s="173">
        <v>397263</v>
      </c>
      <c r="F36" s="173">
        <v>75266</v>
      </c>
      <c r="G36" s="173">
        <v>142920</v>
      </c>
      <c r="H36" s="173">
        <v>615449</v>
      </c>
      <c r="I36" s="172">
        <v>1159.7</v>
      </c>
      <c r="K36" s="173">
        <v>504549</v>
      </c>
      <c r="R36" s="50"/>
      <c r="S36" s="50"/>
      <c r="T36" s="50"/>
      <c r="U36" s="171"/>
      <c r="V36" s="171"/>
      <c r="W36" s="171"/>
      <c r="X36" s="171"/>
      <c r="Y36" s="171"/>
      <c r="Z36" s="171"/>
      <c r="AA36" s="171"/>
      <c r="AB36" s="171"/>
      <c r="AC36" s="171"/>
      <c r="AD36" s="171"/>
      <c r="AE36" s="171"/>
      <c r="AF36" s="171"/>
      <c r="AG36" s="171"/>
      <c r="AH36" s="171"/>
    </row>
    <row r="37" spans="3:34" s="230" customFormat="1" hidden="1">
      <c r="C37" s="1202"/>
      <c r="D37" s="173" t="str">
        <f>IF(Indice_index!$Z$1=1,"março","March")</f>
        <v>March</v>
      </c>
      <c r="E37" s="173">
        <v>397932</v>
      </c>
      <c r="F37" s="173">
        <v>75141</v>
      </c>
      <c r="G37" s="173">
        <v>143128</v>
      </c>
      <c r="H37" s="173">
        <v>616201</v>
      </c>
      <c r="I37" s="172">
        <v>1159.0999999999999</v>
      </c>
      <c r="K37" s="173">
        <v>502632</v>
      </c>
      <c r="R37" s="50"/>
      <c r="S37" s="50"/>
      <c r="T37" s="50"/>
      <c r="U37" s="171"/>
      <c r="V37" s="171"/>
      <c r="W37" s="171"/>
      <c r="X37" s="171"/>
      <c r="Y37" s="171"/>
      <c r="Z37" s="171"/>
      <c r="AA37" s="171"/>
      <c r="AB37" s="171"/>
      <c r="AC37" s="171"/>
      <c r="AD37" s="171"/>
      <c r="AE37" s="171"/>
      <c r="AF37" s="171"/>
      <c r="AG37" s="171"/>
      <c r="AH37" s="171"/>
    </row>
    <row r="38" spans="3:34" s="230" customFormat="1" hidden="1">
      <c r="C38" s="1202"/>
      <c r="D38" s="173" t="str">
        <f>IF(Indice_index!$Z$1=1,"abril","April")</f>
        <v>April</v>
      </c>
      <c r="E38" s="173">
        <v>398439</v>
      </c>
      <c r="F38" s="173">
        <v>75278</v>
      </c>
      <c r="G38" s="173">
        <v>143389</v>
      </c>
      <c r="H38" s="173">
        <v>617106</v>
      </c>
      <c r="I38" s="172">
        <v>1162.0999999999999</v>
      </c>
      <c r="K38" s="173">
        <v>500432</v>
      </c>
      <c r="R38" s="50"/>
      <c r="S38" s="50"/>
      <c r="T38" s="50"/>
      <c r="U38" s="171"/>
      <c r="V38" s="171"/>
      <c r="W38" s="171"/>
      <c r="X38" s="171"/>
      <c r="Y38" s="171"/>
      <c r="Z38" s="171"/>
      <c r="AA38" s="171"/>
      <c r="AB38" s="171"/>
      <c r="AC38" s="171"/>
      <c r="AD38" s="171"/>
      <c r="AE38" s="171"/>
      <c r="AF38" s="171"/>
      <c r="AG38" s="171"/>
      <c r="AH38" s="171"/>
    </row>
    <row r="39" spans="3:34" s="230" customFormat="1" hidden="1">
      <c r="C39" s="1202"/>
      <c r="D39" s="173" t="str">
        <f>IF(Indice_index!$Z$1=1,"maio","May")</f>
        <v>May</v>
      </c>
      <c r="E39" s="173">
        <v>399256</v>
      </c>
      <c r="F39" s="173">
        <v>75235</v>
      </c>
      <c r="G39" s="173">
        <v>143535</v>
      </c>
      <c r="H39" s="173">
        <v>618026</v>
      </c>
      <c r="I39" s="172">
        <v>1157.7</v>
      </c>
      <c r="K39" s="173">
        <v>498495</v>
      </c>
      <c r="R39" s="50"/>
      <c r="S39" s="50"/>
      <c r="T39" s="50"/>
      <c r="U39" s="171"/>
      <c r="V39" s="171"/>
      <c r="W39" s="171"/>
      <c r="X39" s="171"/>
      <c r="Y39" s="171"/>
      <c r="Z39" s="171"/>
      <c r="AA39" s="171"/>
      <c r="AB39" s="171"/>
      <c r="AC39" s="171"/>
      <c r="AD39" s="171"/>
      <c r="AE39" s="171"/>
      <c r="AF39" s="171"/>
      <c r="AG39" s="171"/>
      <c r="AH39" s="171"/>
    </row>
    <row r="40" spans="3:34" s="230" customFormat="1" hidden="1">
      <c r="C40" s="1202"/>
      <c r="D40" s="173" t="str">
        <f>IF(Indice_index!$Z$1=1,"junho","June")</f>
        <v>June</v>
      </c>
      <c r="E40" s="173">
        <v>400007</v>
      </c>
      <c r="F40" s="173">
        <v>75203</v>
      </c>
      <c r="G40" s="173">
        <v>143766</v>
      </c>
      <c r="H40" s="173">
        <v>618976</v>
      </c>
      <c r="I40" s="172">
        <v>1158.5</v>
      </c>
      <c r="K40" s="173">
        <v>496204</v>
      </c>
      <c r="R40" s="50"/>
      <c r="S40" s="50"/>
      <c r="T40" s="50"/>
      <c r="U40" s="171"/>
      <c r="V40" s="171"/>
      <c r="W40" s="171"/>
      <c r="X40" s="171"/>
      <c r="Y40" s="171"/>
      <c r="Z40" s="171"/>
      <c r="AA40" s="171"/>
      <c r="AB40" s="171"/>
      <c r="AC40" s="171"/>
      <c r="AD40" s="171"/>
      <c r="AE40" s="171"/>
      <c r="AF40" s="171"/>
      <c r="AG40" s="171"/>
      <c r="AH40" s="171"/>
    </row>
    <row r="41" spans="3:34" s="230" customFormat="1" hidden="1">
      <c r="C41" s="1202"/>
      <c r="D41" s="173" t="str">
        <f>IF(Indice_index!$Z$1=1,"julho","July")</f>
        <v>July</v>
      </c>
      <c r="E41" s="173">
        <v>401116</v>
      </c>
      <c r="F41" s="173">
        <v>75124</v>
      </c>
      <c r="G41" s="173">
        <v>156493</v>
      </c>
      <c r="H41" s="173">
        <v>632733</v>
      </c>
      <c r="I41" s="172">
        <v>2155.4</v>
      </c>
      <c r="K41" s="173">
        <v>493968</v>
      </c>
      <c r="R41" s="50"/>
      <c r="S41" s="50"/>
      <c r="T41" s="50"/>
      <c r="U41" s="171"/>
      <c r="V41" s="171"/>
      <c r="W41" s="171"/>
      <c r="X41" s="171"/>
      <c r="Y41" s="171"/>
      <c r="Z41" s="171"/>
      <c r="AA41" s="171"/>
      <c r="AB41" s="171"/>
      <c r="AC41" s="171"/>
      <c r="AD41" s="171"/>
      <c r="AE41" s="171"/>
      <c r="AF41" s="171"/>
      <c r="AG41" s="171"/>
      <c r="AH41" s="171"/>
    </row>
    <row r="42" spans="3:34" s="230" customFormat="1" hidden="1">
      <c r="C42" s="1202"/>
      <c r="D42" s="173" t="str">
        <f>IF(Indice_index!$Z$1=1,"agosto","August")</f>
        <v>August</v>
      </c>
      <c r="E42" s="173">
        <v>403188</v>
      </c>
      <c r="F42" s="173">
        <v>75226</v>
      </c>
      <c r="G42" s="173">
        <v>156768</v>
      </c>
      <c r="H42" s="173">
        <v>635182</v>
      </c>
      <c r="I42" s="172">
        <v>1185.7</v>
      </c>
      <c r="K42" s="173">
        <v>492048</v>
      </c>
      <c r="R42" s="50"/>
      <c r="S42" s="50"/>
      <c r="T42" s="50"/>
      <c r="U42" s="171"/>
      <c r="V42" s="171"/>
      <c r="W42" s="171"/>
      <c r="X42" s="171"/>
      <c r="Y42" s="171"/>
      <c r="Z42" s="171"/>
      <c r="AA42" s="171"/>
      <c r="AB42" s="171"/>
      <c r="AC42" s="171"/>
      <c r="AD42" s="171"/>
      <c r="AE42" s="171"/>
      <c r="AF42" s="171"/>
      <c r="AG42" s="171"/>
      <c r="AH42" s="171"/>
    </row>
    <row r="43" spans="3:34" s="230" customFormat="1" hidden="1">
      <c r="C43" s="1202"/>
      <c r="D43" s="173" t="str">
        <f>IF(Indice_index!$Z$1=1,"setembro","September")</f>
        <v>September</v>
      </c>
      <c r="E43" s="173">
        <v>404943</v>
      </c>
      <c r="F43" s="173">
        <v>75323</v>
      </c>
      <c r="G43" s="173">
        <v>156636</v>
      </c>
      <c r="H43" s="173">
        <v>636902</v>
      </c>
      <c r="I43" s="172">
        <v>1141.7</v>
      </c>
      <c r="K43" s="173">
        <v>488783</v>
      </c>
      <c r="R43" s="50"/>
      <c r="S43" s="50"/>
      <c r="T43" s="50"/>
      <c r="U43" s="171"/>
      <c r="V43" s="171"/>
      <c r="W43" s="171"/>
      <c r="X43" s="171"/>
      <c r="Y43" s="171"/>
      <c r="Z43" s="171"/>
      <c r="AA43" s="171"/>
      <c r="AB43" s="171"/>
      <c r="AC43" s="171"/>
      <c r="AD43" s="171"/>
      <c r="AE43" s="171"/>
      <c r="AF43" s="171"/>
      <c r="AG43" s="171"/>
      <c r="AH43" s="171"/>
    </row>
    <row r="44" spans="3:34" s="230" customFormat="1" hidden="1">
      <c r="C44" s="1202"/>
      <c r="D44" s="173" t="str">
        <f>IF(Indice_index!$Z$1=1,"outubro","October")</f>
        <v>October</v>
      </c>
      <c r="E44" s="173">
        <v>405843</v>
      </c>
      <c r="F44" s="173">
        <v>75237</v>
      </c>
      <c r="G44" s="173">
        <v>156863</v>
      </c>
      <c r="H44" s="173">
        <v>637943</v>
      </c>
      <c r="I44" s="172">
        <v>1151.4000000000001</v>
      </c>
      <c r="K44" s="173">
        <v>487328</v>
      </c>
      <c r="R44" s="50"/>
      <c r="S44" s="50"/>
      <c r="T44" s="50"/>
      <c r="U44" s="171"/>
      <c r="V44" s="171"/>
      <c r="W44" s="171"/>
      <c r="X44" s="171"/>
      <c r="Y44" s="171"/>
      <c r="Z44" s="171"/>
      <c r="AA44" s="171"/>
      <c r="AB44" s="171"/>
      <c r="AC44" s="171"/>
      <c r="AD44" s="171"/>
      <c r="AE44" s="171"/>
      <c r="AF44" s="171"/>
      <c r="AG44" s="171"/>
      <c r="AH44" s="171"/>
    </row>
    <row r="45" spans="3:34" s="230" customFormat="1" hidden="1">
      <c r="C45" s="1202"/>
      <c r="D45" s="173" t="str">
        <f>IF(Indice_index!$Z$1=1,"novembro","November")</f>
        <v>November</v>
      </c>
      <c r="E45" s="173">
        <v>406835</v>
      </c>
      <c r="F45" s="173">
        <v>75169</v>
      </c>
      <c r="G45" s="173">
        <v>157124</v>
      </c>
      <c r="H45" s="173">
        <v>639128</v>
      </c>
      <c r="I45" s="172">
        <v>1146.0999999999999</v>
      </c>
      <c r="K45" s="173">
        <v>485819</v>
      </c>
      <c r="R45" s="50"/>
      <c r="S45" s="50"/>
      <c r="T45" s="50"/>
      <c r="U45" s="171"/>
      <c r="V45" s="171"/>
      <c r="W45" s="171"/>
      <c r="X45" s="171"/>
      <c r="Y45" s="171"/>
      <c r="Z45" s="171"/>
      <c r="AA45" s="171"/>
      <c r="AB45" s="171"/>
      <c r="AC45" s="171"/>
      <c r="AD45" s="171"/>
      <c r="AE45" s="171"/>
      <c r="AF45" s="171"/>
      <c r="AG45" s="171"/>
      <c r="AH45" s="171"/>
    </row>
    <row r="46" spans="3:34" s="230" customFormat="1" hidden="1">
      <c r="C46" s="1202"/>
      <c r="D46" s="173" t="str">
        <f>IF(Indice_index!$Z$1=1,"dezembro","December")</f>
        <v>December</v>
      </c>
      <c r="E46" s="173">
        <v>407620</v>
      </c>
      <c r="F46" s="173">
        <v>75086</v>
      </c>
      <c r="G46" s="173">
        <v>157273</v>
      </c>
      <c r="H46" s="173">
        <v>639979</v>
      </c>
      <c r="I46" s="172">
        <v>1187.0999999999999</v>
      </c>
      <c r="K46" s="173">
        <v>484526</v>
      </c>
      <c r="R46" s="50"/>
      <c r="S46" s="50"/>
      <c r="T46" s="50"/>
      <c r="U46" s="171"/>
      <c r="V46" s="171"/>
      <c r="W46" s="171"/>
      <c r="X46" s="171"/>
      <c r="Y46" s="171"/>
      <c r="Z46" s="171"/>
      <c r="AA46" s="171"/>
      <c r="AB46" s="171"/>
      <c r="AC46" s="171"/>
      <c r="AD46" s="171"/>
      <c r="AE46" s="171"/>
      <c r="AF46" s="171"/>
      <c r="AG46" s="171"/>
      <c r="AH46" s="171"/>
    </row>
    <row r="47" spans="3:34" s="230" customFormat="1" hidden="1">
      <c r="C47" s="1200" t="s">
        <v>14</v>
      </c>
      <c r="D47" s="173"/>
      <c r="E47" s="173"/>
      <c r="F47" s="173"/>
      <c r="G47" s="173"/>
      <c r="H47" s="173"/>
      <c r="I47" s="172"/>
      <c r="K47" s="173"/>
      <c r="R47" s="50"/>
      <c r="S47" s="50"/>
      <c r="T47" s="50"/>
      <c r="U47" s="171"/>
      <c r="V47" s="171"/>
      <c r="W47" s="171"/>
      <c r="X47" s="171"/>
      <c r="Y47" s="171"/>
      <c r="Z47" s="171"/>
      <c r="AA47" s="171"/>
      <c r="AB47" s="171"/>
      <c r="AC47" s="171"/>
      <c r="AD47" s="171"/>
      <c r="AE47" s="171"/>
      <c r="AF47" s="171"/>
      <c r="AG47" s="171"/>
      <c r="AH47" s="171"/>
    </row>
    <row r="48" spans="3:34" s="230" customFormat="1" hidden="1">
      <c r="C48" s="1202"/>
      <c r="D48" s="173" t="str">
        <f>IF(Indice_index!$Z$1=1,"janeiro","January")</f>
        <v>January</v>
      </c>
      <c r="E48" s="173">
        <v>408667</v>
      </c>
      <c r="F48" s="173">
        <v>75024</v>
      </c>
      <c r="G48" s="173">
        <v>157314</v>
      </c>
      <c r="H48" s="173">
        <v>641005</v>
      </c>
      <c r="I48" s="172">
        <v>1164.4000000000001</v>
      </c>
      <c r="K48" s="173">
        <v>482823</v>
      </c>
      <c r="R48" s="50"/>
      <c r="S48" s="50"/>
      <c r="T48" s="50"/>
      <c r="U48" s="171"/>
      <c r="V48" s="171"/>
      <c r="W48" s="171"/>
      <c r="X48" s="171"/>
      <c r="Y48" s="171"/>
      <c r="Z48" s="171"/>
      <c r="AA48" s="171"/>
      <c r="AB48" s="171"/>
      <c r="AC48" s="171"/>
      <c r="AD48" s="171"/>
      <c r="AE48" s="171"/>
      <c r="AF48" s="171"/>
      <c r="AG48" s="171"/>
      <c r="AH48" s="171"/>
    </row>
    <row r="49" spans="3:34" s="230" customFormat="1" hidden="1">
      <c r="C49" s="1202"/>
      <c r="D49" s="173" t="str">
        <f>IF(Indice_index!$Z$1=1,"fevereiro","February")</f>
        <v>February</v>
      </c>
      <c r="E49" s="173">
        <v>409396</v>
      </c>
      <c r="F49" s="173">
        <v>74874</v>
      </c>
      <c r="G49" s="173">
        <v>157126</v>
      </c>
      <c r="H49" s="173">
        <v>641396</v>
      </c>
      <c r="I49" s="172">
        <v>1145.4000000000001</v>
      </c>
      <c r="K49" s="173">
        <v>482096</v>
      </c>
      <c r="R49" s="50"/>
      <c r="S49" s="50"/>
      <c r="T49" s="50"/>
      <c r="U49" s="171"/>
      <c r="V49" s="171"/>
      <c r="W49" s="171"/>
      <c r="X49" s="171"/>
      <c r="Y49" s="171"/>
      <c r="Z49" s="171"/>
      <c r="AA49" s="171"/>
      <c r="AB49" s="171"/>
      <c r="AC49" s="171"/>
      <c r="AD49" s="171"/>
      <c r="AE49" s="171"/>
      <c r="AF49" s="171"/>
      <c r="AG49" s="171"/>
      <c r="AH49" s="171"/>
    </row>
    <row r="50" spans="3:34" s="230" customFormat="1" hidden="1">
      <c r="C50" s="1202"/>
      <c r="D50" s="173" t="str">
        <f>IF(Indice_index!$Z$1=1,"março","March")</f>
        <v>March</v>
      </c>
      <c r="E50" s="173">
        <v>410091</v>
      </c>
      <c r="F50" s="173">
        <v>74722</v>
      </c>
      <c r="G50" s="173">
        <v>156983</v>
      </c>
      <c r="H50" s="173">
        <v>641796</v>
      </c>
      <c r="I50" s="172">
        <v>1145.5999999999999</v>
      </c>
      <c r="K50" s="173">
        <v>481344</v>
      </c>
      <c r="R50" s="50"/>
      <c r="S50" s="50"/>
      <c r="T50" s="50"/>
      <c r="U50" s="171"/>
      <c r="V50" s="171"/>
      <c r="W50" s="171"/>
      <c r="X50" s="171"/>
      <c r="Y50" s="171"/>
      <c r="Z50" s="171"/>
      <c r="AA50" s="171"/>
      <c r="AB50" s="171"/>
      <c r="AC50" s="171"/>
      <c r="AD50" s="171"/>
      <c r="AE50" s="171"/>
      <c r="AF50" s="171"/>
      <c r="AG50" s="171"/>
      <c r="AH50" s="171"/>
    </row>
    <row r="51" spans="3:34" s="230" customFormat="1" hidden="1">
      <c r="C51" s="1202"/>
      <c r="D51" s="173" t="str">
        <f>IF(Indice_index!$Z$1=1,"abril","April")</f>
        <v>April</v>
      </c>
      <c r="E51" s="173">
        <v>410488</v>
      </c>
      <c r="F51" s="173">
        <v>74660</v>
      </c>
      <c r="G51" s="173">
        <v>157177</v>
      </c>
      <c r="H51" s="173">
        <v>642325</v>
      </c>
      <c r="I51" s="172">
        <v>1151</v>
      </c>
      <c r="K51" s="173">
        <v>480229</v>
      </c>
      <c r="R51" s="50"/>
      <c r="S51" s="50"/>
      <c r="T51" s="50"/>
      <c r="U51" s="171"/>
      <c r="V51" s="171"/>
      <c r="W51" s="171"/>
      <c r="X51" s="171"/>
      <c r="Y51" s="171"/>
      <c r="Z51" s="171"/>
      <c r="AA51" s="171"/>
      <c r="AB51" s="171"/>
      <c r="AC51" s="171"/>
      <c r="AD51" s="171"/>
      <c r="AE51" s="171"/>
      <c r="AF51" s="171"/>
      <c r="AG51" s="171"/>
      <c r="AH51" s="171"/>
    </row>
    <row r="52" spans="3:34" s="230" customFormat="1" hidden="1">
      <c r="C52" s="1202"/>
      <c r="D52" s="173" t="str">
        <f>IF(Indice_index!$Z$1=1,"maio","May")</f>
        <v>May</v>
      </c>
      <c r="E52" s="173">
        <v>411009</v>
      </c>
      <c r="F52" s="173">
        <v>74591</v>
      </c>
      <c r="G52" s="173">
        <v>158931</v>
      </c>
      <c r="H52" s="173">
        <v>644531</v>
      </c>
      <c r="I52" s="172">
        <v>1145.7</v>
      </c>
      <c r="K52" s="173">
        <v>479986</v>
      </c>
      <c r="R52" s="50"/>
      <c r="S52" s="50"/>
      <c r="T52" s="50"/>
      <c r="U52" s="171"/>
      <c r="V52" s="171"/>
      <c r="W52" s="171"/>
      <c r="X52" s="171"/>
      <c r="Y52" s="171"/>
      <c r="Z52" s="171"/>
      <c r="AA52" s="171"/>
      <c r="AB52" s="171"/>
      <c r="AC52" s="171"/>
      <c r="AD52" s="171"/>
      <c r="AE52" s="171"/>
      <c r="AF52" s="171"/>
      <c r="AG52" s="171"/>
      <c r="AH52" s="171"/>
    </row>
    <row r="53" spans="3:34" s="230" customFormat="1" hidden="1">
      <c r="C53" s="1202"/>
      <c r="D53" s="173" t="str">
        <f>IF(Indice_index!$Z$1=1,"junho","June")</f>
        <v>June</v>
      </c>
      <c r="E53" s="173">
        <v>411477</v>
      </c>
      <c r="F53" s="173">
        <v>74573</v>
      </c>
      <c r="G53" s="173">
        <v>159067</v>
      </c>
      <c r="H53" s="173">
        <v>645117</v>
      </c>
      <c r="I53" s="172">
        <v>1144</v>
      </c>
      <c r="K53" s="173">
        <v>479407</v>
      </c>
      <c r="R53" s="50"/>
      <c r="S53" s="50"/>
      <c r="T53" s="50"/>
      <c r="U53" s="171"/>
      <c r="V53" s="171"/>
      <c r="W53" s="171"/>
      <c r="X53" s="171"/>
      <c r="Y53" s="171"/>
      <c r="Z53" s="171"/>
      <c r="AA53" s="171"/>
      <c r="AB53" s="171"/>
      <c r="AC53" s="171"/>
      <c r="AD53" s="171"/>
      <c r="AE53" s="171"/>
      <c r="AF53" s="171"/>
      <c r="AG53" s="171"/>
      <c r="AH53" s="171"/>
    </row>
    <row r="54" spans="3:34" s="230" customFormat="1" hidden="1">
      <c r="C54" s="1202"/>
      <c r="D54" s="173" t="str">
        <f>IF(Indice_index!$Z$1=1,"julho","July")</f>
        <v>July</v>
      </c>
      <c r="E54" s="173">
        <v>411370</v>
      </c>
      <c r="F54" s="173">
        <v>74549</v>
      </c>
      <c r="G54" s="173">
        <v>159339</v>
      </c>
      <c r="H54" s="173">
        <v>645258</v>
      </c>
      <c r="I54" s="172">
        <v>2159.5</v>
      </c>
      <c r="K54" s="173">
        <v>478593</v>
      </c>
      <c r="R54" s="50"/>
      <c r="S54" s="50"/>
      <c r="T54" s="50"/>
      <c r="U54" s="171"/>
      <c r="V54" s="171"/>
      <c r="W54" s="171"/>
      <c r="X54" s="171"/>
      <c r="Y54" s="171"/>
      <c r="Z54" s="171"/>
      <c r="AA54" s="171"/>
      <c r="AB54" s="171"/>
      <c r="AC54" s="171"/>
      <c r="AD54" s="171"/>
      <c r="AE54" s="171"/>
      <c r="AF54" s="171"/>
      <c r="AG54" s="171"/>
      <c r="AH54" s="171"/>
    </row>
    <row r="55" spans="3:34" s="230" customFormat="1" hidden="1">
      <c r="C55" s="1202"/>
      <c r="D55" s="173" t="str">
        <f>IF(Indice_index!$Z$1=1,"agosto","August")</f>
        <v>August</v>
      </c>
      <c r="E55" s="173">
        <v>411859</v>
      </c>
      <c r="F55" s="173">
        <v>74524</v>
      </c>
      <c r="G55" s="173">
        <v>159580</v>
      </c>
      <c r="H55" s="173">
        <v>645963</v>
      </c>
      <c r="I55" s="172">
        <v>1142.5</v>
      </c>
      <c r="K55" s="173">
        <v>477503</v>
      </c>
      <c r="R55" s="50"/>
      <c r="S55" s="50"/>
      <c r="T55" s="50"/>
      <c r="U55" s="171"/>
      <c r="V55" s="171"/>
      <c r="W55" s="171"/>
      <c r="X55" s="171"/>
      <c r="Y55" s="171"/>
      <c r="Z55" s="171"/>
      <c r="AA55" s="171"/>
      <c r="AB55" s="171"/>
      <c r="AC55" s="171"/>
      <c r="AD55" s="171"/>
      <c r="AE55" s="171"/>
      <c r="AF55" s="171"/>
      <c r="AG55" s="171"/>
      <c r="AH55" s="171"/>
    </row>
    <row r="56" spans="3:34" s="230" customFormat="1" hidden="1">
      <c r="C56" s="1202"/>
      <c r="D56" s="173" t="str">
        <f>IF(Indice_index!$Z$1=1,"setembro","September")</f>
        <v>September</v>
      </c>
      <c r="E56" s="173">
        <v>412056</v>
      </c>
      <c r="F56" s="173">
        <v>74525</v>
      </c>
      <c r="G56" s="173">
        <v>159606</v>
      </c>
      <c r="H56" s="173">
        <v>646187</v>
      </c>
      <c r="I56" s="172">
        <v>1143.3</v>
      </c>
      <c r="K56" s="173">
        <v>476137</v>
      </c>
      <c r="R56" s="50"/>
      <c r="S56" s="50"/>
      <c r="T56" s="50"/>
      <c r="U56" s="171"/>
      <c r="V56" s="171"/>
      <c r="W56" s="171"/>
      <c r="X56" s="171"/>
      <c r="Y56" s="171"/>
      <c r="Z56" s="171"/>
      <c r="AA56" s="171"/>
      <c r="AB56" s="171"/>
      <c r="AC56" s="171"/>
      <c r="AD56" s="171"/>
      <c r="AE56" s="171"/>
      <c r="AF56" s="171"/>
      <c r="AG56" s="171"/>
      <c r="AH56" s="171"/>
    </row>
    <row r="57" spans="3:34" s="230" customFormat="1" hidden="1">
      <c r="C57" s="1202"/>
      <c r="D57" s="173" t="str">
        <f>IF(Indice_index!$Z$1=1,"outubro","October")</f>
        <v>October</v>
      </c>
      <c r="E57" s="173">
        <v>412131</v>
      </c>
      <c r="F57" s="173">
        <v>74487</v>
      </c>
      <c r="G57" s="173">
        <v>159530</v>
      </c>
      <c r="H57" s="173">
        <v>646148</v>
      </c>
      <c r="I57" s="172">
        <v>1152.2</v>
      </c>
      <c r="K57" s="173">
        <v>475241</v>
      </c>
      <c r="R57" s="50"/>
      <c r="S57" s="50"/>
      <c r="T57" s="50"/>
      <c r="U57" s="171"/>
      <c r="V57" s="171"/>
      <c r="W57" s="171"/>
      <c r="X57" s="171"/>
      <c r="Y57" s="171"/>
      <c r="Z57" s="171"/>
      <c r="AA57" s="171"/>
      <c r="AB57" s="171"/>
      <c r="AC57" s="171"/>
      <c r="AD57" s="171"/>
      <c r="AE57" s="171"/>
      <c r="AF57" s="171"/>
      <c r="AG57" s="171"/>
      <c r="AH57" s="171"/>
    </row>
    <row r="58" spans="3:34" s="230" customFormat="1" hidden="1">
      <c r="C58" s="1202"/>
      <c r="D58" s="173" t="str">
        <f>IF(Indice_index!$Z$1=1,"novembro","November")</f>
        <v>November</v>
      </c>
      <c r="E58" s="173">
        <v>411979</v>
      </c>
      <c r="F58" s="173">
        <v>74393</v>
      </c>
      <c r="G58" s="173">
        <v>159755</v>
      </c>
      <c r="H58" s="173">
        <v>646127</v>
      </c>
      <c r="I58" s="172">
        <v>1141.4000000000001</v>
      </c>
      <c r="K58" s="173">
        <v>474462</v>
      </c>
      <c r="R58" s="50"/>
      <c r="S58" s="50"/>
      <c r="T58" s="50"/>
      <c r="U58" s="171"/>
      <c r="V58" s="171"/>
      <c r="W58" s="171"/>
      <c r="X58" s="171"/>
      <c r="Y58" s="171"/>
      <c r="Z58" s="171"/>
      <c r="AA58" s="171"/>
      <c r="AB58" s="171"/>
      <c r="AC58" s="171"/>
      <c r="AD58" s="171"/>
      <c r="AE58" s="171"/>
      <c r="AF58" s="171"/>
      <c r="AG58" s="171"/>
      <c r="AH58" s="171"/>
    </row>
    <row r="59" spans="3:34" s="230" customFormat="1" hidden="1">
      <c r="C59" s="1202"/>
      <c r="D59" s="173" t="str">
        <f>IF(Indice_index!$Z$1=1,"dezembro","December")</f>
        <v>December</v>
      </c>
      <c r="E59" s="173">
        <v>411870</v>
      </c>
      <c r="F59" s="173">
        <v>74399</v>
      </c>
      <c r="G59" s="173">
        <v>159924</v>
      </c>
      <c r="H59" s="173">
        <v>646193</v>
      </c>
      <c r="I59" s="172">
        <v>1108.3</v>
      </c>
      <c r="K59" s="173">
        <v>473446</v>
      </c>
      <c r="R59" s="50"/>
      <c r="S59" s="50"/>
      <c r="T59" s="50"/>
      <c r="U59" s="171"/>
      <c r="V59" s="171"/>
      <c r="W59" s="171"/>
      <c r="X59" s="171"/>
      <c r="Y59" s="171"/>
      <c r="Z59" s="171"/>
      <c r="AA59" s="171"/>
      <c r="AB59" s="171"/>
      <c r="AC59" s="171"/>
      <c r="AD59" s="171"/>
      <c r="AE59" s="171"/>
      <c r="AF59" s="171"/>
      <c r="AG59" s="171"/>
      <c r="AH59" s="171"/>
    </row>
    <row r="60" spans="3:34" s="230" customFormat="1" hidden="1">
      <c r="C60" s="1203">
        <v>2016</v>
      </c>
      <c r="D60" s="173"/>
      <c r="E60" s="173"/>
      <c r="F60" s="173"/>
      <c r="G60" s="173"/>
      <c r="H60" s="173"/>
      <c r="I60" s="172"/>
      <c r="K60" s="173"/>
      <c r="R60" s="50"/>
      <c r="S60" s="50"/>
      <c r="T60" s="50"/>
      <c r="U60" s="171"/>
      <c r="V60" s="171"/>
      <c r="W60" s="171"/>
      <c r="X60" s="171"/>
      <c r="Y60" s="171"/>
      <c r="Z60" s="171"/>
      <c r="AA60" s="171"/>
      <c r="AB60" s="171"/>
      <c r="AC60" s="171"/>
      <c r="AD60" s="171"/>
      <c r="AE60" s="171"/>
      <c r="AF60" s="171"/>
      <c r="AG60" s="171"/>
      <c r="AH60" s="171"/>
    </row>
    <row r="61" spans="3:34" s="230" customFormat="1" hidden="1">
      <c r="C61" s="1202"/>
      <c r="D61" s="173" t="str">
        <f>IF(Indice_index!$Z$1=1,"janeiro","January")</f>
        <v>January</v>
      </c>
      <c r="E61" s="173">
        <v>411718</v>
      </c>
      <c r="F61" s="173">
        <v>74348</v>
      </c>
      <c r="G61" s="173">
        <v>159909</v>
      </c>
      <c r="H61" s="173">
        <v>645975</v>
      </c>
      <c r="I61" s="172">
        <v>1166.4000000000001</v>
      </c>
      <c r="J61" s="172"/>
      <c r="K61" s="173">
        <v>472236</v>
      </c>
      <c r="R61" s="50"/>
      <c r="S61" s="50"/>
      <c r="T61" s="50"/>
      <c r="U61" s="171"/>
      <c r="V61" s="171"/>
      <c r="W61" s="171"/>
      <c r="X61" s="171"/>
      <c r="Y61" s="171"/>
      <c r="Z61" s="171"/>
      <c r="AA61" s="171"/>
      <c r="AB61" s="171"/>
      <c r="AC61" s="171"/>
      <c r="AD61" s="171"/>
      <c r="AE61" s="171"/>
      <c r="AF61" s="171"/>
      <c r="AG61" s="171"/>
      <c r="AH61" s="171"/>
    </row>
    <row r="62" spans="3:34" s="230" customFormat="1" hidden="1">
      <c r="C62" s="1202"/>
      <c r="D62" s="173" t="str">
        <f>IF(Indice_index!$Z$1=1,"fevereiro","February")</f>
        <v>February</v>
      </c>
      <c r="E62" s="173">
        <v>411422</v>
      </c>
      <c r="F62" s="173">
        <v>74216</v>
      </c>
      <c r="G62" s="173">
        <v>159832</v>
      </c>
      <c r="H62" s="173">
        <v>645470</v>
      </c>
      <c r="I62" s="172">
        <v>1174</v>
      </c>
      <c r="J62" s="172"/>
      <c r="K62" s="173">
        <v>471532</v>
      </c>
      <c r="R62" s="50"/>
      <c r="S62" s="50"/>
      <c r="T62" s="50"/>
      <c r="U62" s="171"/>
      <c r="V62" s="171"/>
      <c r="W62" s="171"/>
      <c r="X62" s="171"/>
      <c r="Y62" s="171"/>
      <c r="Z62" s="171"/>
      <c r="AA62" s="171"/>
      <c r="AB62" s="171"/>
      <c r="AC62" s="171"/>
      <c r="AD62" s="171"/>
      <c r="AE62" s="171"/>
      <c r="AF62" s="171"/>
      <c r="AG62" s="171"/>
      <c r="AH62" s="171"/>
    </row>
    <row r="63" spans="3:34" s="230" customFormat="1" hidden="1">
      <c r="C63" s="1202"/>
      <c r="D63" s="173" t="str">
        <f>IF(Indice_index!$Z$1=1,"março","March")</f>
        <v>March</v>
      </c>
      <c r="E63" s="173">
        <v>411217</v>
      </c>
      <c r="F63" s="173">
        <v>74134</v>
      </c>
      <c r="G63" s="173">
        <v>159822</v>
      </c>
      <c r="H63" s="173">
        <v>645173</v>
      </c>
      <c r="I63" s="172">
        <v>1142.2</v>
      </c>
      <c r="J63" s="172"/>
      <c r="K63" s="173">
        <v>470960</v>
      </c>
      <c r="R63" s="50"/>
      <c r="S63" s="50"/>
      <c r="T63" s="50"/>
      <c r="U63" s="171"/>
      <c r="V63" s="171"/>
      <c r="W63" s="171"/>
      <c r="X63" s="171"/>
      <c r="Y63" s="171"/>
      <c r="Z63" s="171"/>
      <c r="AA63" s="171"/>
      <c r="AB63" s="171"/>
      <c r="AC63" s="171"/>
      <c r="AD63" s="171"/>
      <c r="AE63" s="171"/>
      <c r="AF63" s="171"/>
      <c r="AG63" s="171"/>
      <c r="AH63" s="171"/>
    </row>
    <row r="64" spans="3:34" s="230" customFormat="1" hidden="1">
      <c r="C64" s="1202"/>
      <c r="D64" s="173" t="str">
        <f>IF(Indice_index!$Z$1=1,"abril","April")</f>
        <v>April</v>
      </c>
      <c r="E64" s="173">
        <v>411066</v>
      </c>
      <c r="F64" s="173">
        <v>74063</v>
      </c>
      <c r="G64" s="173">
        <v>159895</v>
      </c>
      <c r="H64" s="173">
        <v>645024</v>
      </c>
      <c r="I64" s="172">
        <v>1149.5</v>
      </c>
      <c r="J64" s="172"/>
      <c r="K64" s="173">
        <v>470289</v>
      </c>
      <c r="R64" s="50"/>
      <c r="S64" s="50"/>
      <c r="T64" s="50"/>
      <c r="U64" s="171"/>
      <c r="V64" s="171"/>
      <c r="W64" s="171"/>
      <c r="X64" s="171"/>
      <c r="Y64" s="171"/>
      <c r="Z64" s="171"/>
      <c r="AA64" s="171"/>
      <c r="AB64" s="171"/>
      <c r="AC64" s="171"/>
      <c r="AD64" s="171"/>
      <c r="AE64" s="171"/>
      <c r="AF64" s="171"/>
      <c r="AG64" s="171"/>
      <c r="AH64" s="171"/>
    </row>
    <row r="65" spans="3:34" s="230" customFormat="1" hidden="1">
      <c r="C65" s="1202"/>
      <c r="D65" s="173" t="str">
        <f>IF(Indice_index!$Z$1=1,"maio","May")</f>
        <v>May</v>
      </c>
      <c r="E65" s="173">
        <v>410687</v>
      </c>
      <c r="F65" s="173">
        <v>73966</v>
      </c>
      <c r="G65" s="173">
        <v>159648</v>
      </c>
      <c r="H65" s="173">
        <v>644301</v>
      </c>
      <c r="I65" s="172">
        <v>1142.8</v>
      </c>
      <c r="J65" s="172"/>
      <c r="K65" s="173">
        <v>469543</v>
      </c>
      <c r="R65" s="50"/>
      <c r="S65" s="50"/>
      <c r="T65" s="50"/>
      <c r="U65" s="171"/>
      <c r="V65" s="171"/>
      <c r="W65" s="171"/>
      <c r="X65" s="171"/>
      <c r="Y65" s="171"/>
      <c r="Z65" s="171"/>
      <c r="AA65" s="171"/>
      <c r="AB65" s="171"/>
      <c r="AC65" s="171"/>
      <c r="AD65" s="171"/>
      <c r="AE65" s="171"/>
      <c r="AF65" s="171"/>
      <c r="AG65" s="171"/>
      <c r="AH65" s="171"/>
    </row>
    <row r="66" spans="3:34" s="230" customFormat="1" hidden="1">
      <c r="C66" s="1202"/>
      <c r="D66" s="173" t="str">
        <f>IF(Indice_index!$Z$1=1,"junho","June")</f>
        <v>June</v>
      </c>
      <c r="E66" s="173">
        <v>410431</v>
      </c>
      <c r="F66" s="173">
        <v>73883</v>
      </c>
      <c r="G66" s="173">
        <v>159884</v>
      </c>
      <c r="H66" s="173">
        <v>644198</v>
      </c>
      <c r="I66" s="172">
        <v>1161.0999999999999</v>
      </c>
      <c r="J66" s="172"/>
      <c r="K66" s="173">
        <v>469096</v>
      </c>
      <c r="R66" s="50"/>
      <c r="S66" s="50"/>
      <c r="T66" s="50"/>
      <c r="U66" s="171"/>
      <c r="V66" s="171"/>
      <c r="W66" s="171"/>
      <c r="X66" s="171"/>
      <c r="Y66" s="171"/>
      <c r="Z66" s="171"/>
      <c r="AA66" s="171"/>
      <c r="AB66" s="171"/>
      <c r="AC66" s="171"/>
      <c r="AD66" s="171"/>
      <c r="AE66" s="171"/>
      <c r="AF66" s="171"/>
      <c r="AG66" s="171"/>
      <c r="AH66" s="171"/>
    </row>
    <row r="67" spans="3:34" s="230" customFormat="1" hidden="1">
      <c r="C67" s="1202"/>
      <c r="D67" s="173" t="str">
        <f>IF(Indice_index!$Z$1=1,"julho","July")</f>
        <v>July</v>
      </c>
      <c r="E67" s="173">
        <v>410147</v>
      </c>
      <c r="F67" s="173">
        <v>73871</v>
      </c>
      <c r="G67" s="173">
        <v>159990</v>
      </c>
      <c r="H67" s="173">
        <v>644008</v>
      </c>
      <c r="I67" s="172">
        <v>2187.1</v>
      </c>
      <c r="J67" s="172"/>
      <c r="K67" s="173">
        <v>468440</v>
      </c>
      <c r="R67" s="50"/>
      <c r="S67" s="50"/>
      <c r="T67" s="50"/>
      <c r="U67" s="171"/>
      <c r="V67" s="171"/>
      <c r="W67" s="171"/>
      <c r="X67" s="171"/>
      <c r="Y67" s="171"/>
      <c r="Z67" s="171"/>
      <c r="AA67" s="171"/>
      <c r="AB67" s="171"/>
      <c r="AC67" s="171"/>
      <c r="AD67" s="171"/>
      <c r="AE67" s="171"/>
      <c r="AF67" s="171"/>
      <c r="AG67" s="171"/>
      <c r="AH67" s="171"/>
    </row>
    <row r="68" spans="3:34" s="230" customFormat="1" hidden="1">
      <c r="C68" s="1202"/>
      <c r="D68" s="173" t="str">
        <f>IF(Indice_index!$Z$1=1,"agosto","August")</f>
        <v>August</v>
      </c>
      <c r="E68" s="173">
        <v>409927</v>
      </c>
      <c r="F68" s="173">
        <v>73850</v>
      </c>
      <c r="G68" s="173">
        <v>160048</v>
      </c>
      <c r="H68" s="173">
        <v>643825</v>
      </c>
      <c r="I68" s="172">
        <v>1169.9000000000001</v>
      </c>
      <c r="J68" s="172"/>
      <c r="K68" s="173">
        <v>467630</v>
      </c>
      <c r="R68" s="50"/>
      <c r="S68" s="50"/>
      <c r="T68" s="50"/>
      <c r="U68" s="171"/>
      <c r="V68" s="171"/>
      <c r="W68" s="171"/>
      <c r="X68" s="171"/>
      <c r="Y68" s="171"/>
      <c r="Z68" s="171"/>
      <c r="AA68" s="171"/>
      <c r="AB68" s="171"/>
      <c r="AC68" s="171"/>
      <c r="AD68" s="171"/>
      <c r="AE68" s="171"/>
      <c r="AF68" s="171"/>
      <c r="AG68" s="171"/>
      <c r="AH68" s="171"/>
    </row>
    <row r="69" spans="3:34" s="230" customFormat="1" hidden="1">
      <c r="C69" s="1202"/>
      <c r="D69" s="173" t="str">
        <f>IF(Indice_index!$Z$1=1,"setembro","September")</f>
        <v>September</v>
      </c>
      <c r="E69" s="173">
        <v>409714</v>
      </c>
      <c r="F69" s="173">
        <v>73855</v>
      </c>
      <c r="G69" s="173">
        <v>159934</v>
      </c>
      <c r="H69" s="173">
        <v>643503</v>
      </c>
      <c r="I69" s="172">
        <v>1161.8</v>
      </c>
      <c r="J69" s="172"/>
      <c r="K69" s="173">
        <v>466384</v>
      </c>
      <c r="R69" s="50"/>
      <c r="S69" s="50"/>
      <c r="T69" s="50"/>
      <c r="U69" s="171"/>
      <c r="V69" s="171"/>
      <c r="W69" s="171"/>
      <c r="X69" s="171"/>
      <c r="Y69" s="171"/>
      <c r="Z69" s="171"/>
      <c r="AA69" s="171"/>
      <c r="AB69" s="171"/>
      <c r="AC69" s="171"/>
      <c r="AD69" s="171"/>
      <c r="AE69" s="171"/>
      <c r="AF69" s="171"/>
      <c r="AG69" s="171"/>
      <c r="AH69" s="171"/>
    </row>
    <row r="70" spans="3:34" s="230" customFormat="1" hidden="1">
      <c r="C70" s="1202"/>
      <c r="D70" s="173" t="str">
        <f>IF(Indice_index!$Z$1=1,"outubro","October")</f>
        <v>October</v>
      </c>
      <c r="E70" s="173">
        <v>409434</v>
      </c>
      <c r="F70" s="173">
        <v>73800</v>
      </c>
      <c r="G70" s="173">
        <v>159797</v>
      </c>
      <c r="H70" s="173">
        <v>643031</v>
      </c>
      <c r="I70" s="172">
        <v>1171.3</v>
      </c>
      <c r="J70" s="172"/>
      <c r="K70" s="173">
        <v>465559</v>
      </c>
      <c r="R70" s="50"/>
      <c r="S70" s="50"/>
      <c r="T70" s="50"/>
      <c r="U70" s="171"/>
      <c r="V70" s="171"/>
      <c r="W70" s="171"/>
      <c r="X70" s="171"/>
      <c r="Y70" s="171"/>
      <c r="Z70" s="171"/>
      <c r="AA70" s="171"/>
      <c r="AB70" s="171"/>
      <c r="AC70" s="171"/>
      <c r="AD70" s="171"/>
      <c r="AE70" s="171"/>
      <c r="AF70" s="171"/>
      <c r="AG70" s="171"/>
      <c r="AH70" s="171"/>
    </row>
    <row r="71" spans="3:34" s="172" customFormat="1" hidden="1">
      <c r="C71" s="1202"/>
      <c r="D71" s="173" t="str">
        <f>IF(Indice_index!$Z$1=1,"novembro","November")</f>
        <v>November</v>
      </c>
      <c r="E71" s="173">
        <v>409108</v>
      </c>
      <c r="F71" s="173">
        <v>73710</v>
      </c>
      <c r="G71" s="173">
        <v>159949</v>
      </c>
      <c r="H71" s="173">
        <v>642767</v>
      </c>
      <c r="I71" s="172">
        <v>1159</v>
      </c>
      <c r="K71" s="173">
        <v>464885</v>
      </c>
      <c r="R71" s="162"/>
      <c r="S71" s="162"/>
      <c r="T71" s="162"/>
      <c r="U71" s="173"/>
      <c r="V71" s="173"/>
      <c r="W71" s="173"/>
      <c r="X71" s="173"/>
      <c r="Y71" s="173"/>
      <c r="Z71" s="173"/>
      <c r="AA71" s="173"/>
      <c r="AB71" s="173"/>
      <c r="AC71" s="173"/>
      <c r="AD71" s="173"/>
      <c r="AE71" s="173"/>
      <c r="AF71" s="173"/>
      <c r="AG71" s="173"/>
      <c r="AH71" s="173"/>
    </row>
    <row r="72" spans="3:34" s="230" customFormat="1" hidden="1">
      <c r="C72" s="1202"/>
      <c r="D72" s="173" t="str">
        <f>IF(Indice_index!$Z$1=1,"dezembro","December")</f>
        <v>December</v>
      </c>
      <c r="E72" s="173">
        <v>408924</v>
      </c>
      <c r="F72" s="173">
        <v>73690</v>
      </c>
      <c r="G72" s="173">
        <v>160016</v>
      </c>
      <c r="H72" s="173">
        <v>642630</v>
      </c>
      <c r="I72" s="172">
        <v>1159.5</v>
      </c>
      <c r="J72" s="172"/>
      <c r="K72" s="173">
        <v>463861</v>
      </c>
      <c r="R72" s="50"/>
      <c r="S72" s="50"/>
      <c r="T72" s="50"/>
      <c r="U72" s="171"/>
      <c r="V72" s="171"/>
      <c r="W72" s="171"/>
      <c r="X72" s="171"/>
      <c r="Y72" s="171"/>
      <c r="Z72" s="171"/>
      <c r="AA72" s="171"/>
      <c r="AB72" s="171"/>
      <c r="AC72" s="171"/>
      <c r="AD72" s="171"/>
      <c r="AE72" s="171"/>
      <c r="AF72" s="171"/>
      <c r="AG72" s="171"/>
      <c r="AH72" s="171"/>
    </row>
    <row r="73" spans="3:34" s="230" customFormat="1" hidden="1">
      <c r="C73" s="1203">
        <v>2017</v>
      </c>
      <c r="D73" s="173"/>
      <c r="E73" s="173"/>
      <c r="F73" s="173"/>
      <c r="G73" s="173"/>
      <c r="H73" s="173"/>
      <c r="I73" s="172"/>
      <c r="K73" s="173"/>
      <c r="R73" s="50"/>
      <c r="S73" s="50"/>
      <c r="T73" s="50"/>
      <c r="U73" s="171"/>
      <c r="V73" s="171"/>
      <c r="W73" s="171"/>
      <c r="X73" s="171"/>
      <c r="Y73" s="171"/>
      <c r="Z73" s="171"/>
      <c r="AA73" s="171"/>
      <c r="AB73" s="171"/>
      <c r="AC73" s="171"/>
      <c r="AD73" s="171"/>
      <c r="AE73" s="171"/>
      <c r="AF73" s="171"/>
      <c r="AG73" s="171"/>
      <c r="AH73" s="171"/>
    </row>
    <row r="74" spans="3:34" s="172" customFormat="1" hidden="1">
      <c r="C74" s="1202"/>
      <c r="D74" s="173" t="str">
        <f>IF(Indice_index!$Z$1=1,"janeiro","January")</f>
        <v>January</v>
      </c>
      <c r="E74" s="173">
        <v>408939</v>
      </c>
      <c r="F74" s="173">
        <v>73624</v>
      </c>
      <c r="G74" s="173">
        <v>160065</v>
      </c>
      <c r="H74" s="173">
        <v>642628</v>
      </c>
      <c r="I74" s="172">
        <v>1143.5</v>
      </c>
      <c r="K74" s="173">
        <v>462411</v>
      </c>
      <c r="M74" s="230"/>
      <c r="R74" s="162"/>
      <c r="S74" s="162"/>
      <c r="T74" s="162"/>
      <c r="U74" s="173"/>
      <c r="V74" s="173"/>
      <c r="W74" s="173"/>
      <c r="X74" s="173"/>
      <c r="Y74" s="173"/>
      <c r="Z74" s="173"/>
      <c r="AA74" s="173"/>
      <c r="AB74" s="173"/>
      <c r="AC74" s="173"/>
      <c r="AD74" s="173"/>
      <c r="AE74" s="173"/>
      <c r="AF74" s="173"/>
      <c r="AG74" s="173"/>
      <c r="AH74" s="173"/>
    </row>
    <row r="75" spans="3:34" s="230" customFormat="1" hidden="1">
      <c r="C75" s="1202"/>
      <c r="D75" s="173" t="str">
        <f>IF(Indice_index!$Z$1=1,"fevereiro","February")</f>
        <v>February</v>
      </c>
      <c r="E75" s="173">
        <v>408288</v>
      </c>
      <c r="F75" s="173">
        <v>73455</v>
      </c>
      <c r="G75" s="173">
        <v>159914</v>
      </c>
      <c r="H75" s="173">
        <v>641657</v>
      </c>
      <c r="I75" s="172">
        <v>1119.4000000000001</v>
      </c>
      <c r="J75" s="172"/>
      <c r="K75" s="173">
        <v>461805</v>
      </c>
      <c r="R75" s="50"/>
      <c r="S75" s="50"/>
      <c r="T75" s="50"/>
      <c r="U75" s="171"/>
      <c r="V75" s="171"/>
      <c r="W75" s="171"/>
      <c r="X75" s="171"/>
      <c r="Y75" s="171"/>
      <c r="Z75" s="171"/>
      <c r="AA75" s="171"/>
      <c r="AB75" s="171"/>
      <c r="AC75" s="171"/>
      <c r="AD75" s="171"/>
      <c r="AE75" s="171"/>
      <c r="AF75" s="171"/>
      <c r="AG75" s="171"/>
      <c r="AH75" s="171"/>
    </row>
    <row r="76" spans="3:34" s="172" customFormat="1" hidden="1">
      <c r="C76" s="1202"/>
      <c r="D76" s="173" t="str">
        <f>IF(Indice_index!$Z$1=1,"março","March")</f>
        <v>March</v>
      </c>
      <c r="E76" s="173">
        <v>407540</v>
      </c>
      <c r="F76" s="173">
        <v>73348</v>
      </c>
      <c r="G76" s="173">
        <v>159347</v>
      </c>
      <c r="H76" s="173">
        <v>640235</v>
      </c>
      <c r="I76" s="172">
        <v>1130.3</v>
      </c>
      <c r="K76" s="173">
        <v>461332</v>
      </c>
      <c r="R76" s="162"/>
      <c r="S76" s="162"/>
      <c r="T76" s="162"/>
      <c r="U76" s="173"/>
      <c r="V76" s="173"/>
      <c r="W76" s="173"/>
      <c r="X76" s="173"/>
      <c r="Y76" s="173"/>
      <c r="Z76" s="173"/>
      <c r="AA76" s="173"/>
      <c r="AB76" s="173"/>
      <c r="AC76" s="173"/>
      <c r="AD76" s="173"/>
      <c r="AE76" s="173"/>
      <c r="AF76" s="173"/>
      <c r="AG76" s="173"/>
      <c r="AH76" s="173"/>
    </row>
    <row r="77" spans="3:34" s="230" customFormat="1" hidden="1">
      <c r="C77" s="1202"/>
      <c r="D77" s="173" t="str">
        <f>IF(Indice_index!$Z$1=1,"abril","April")</f>
        <v>April</v>
      </c>
      <c r="E77" s="173">
        <v>407110</v>
      </c>
      <c r="F77" s="173">
        <v>73249</v>
      </c>
      <c r="G77" s="173">
        <v>160092</v>
      </c>
      <c r="H77" s="173">
        <v>640451</v>
      </c>
      <c r="I77" s="172">
        <v>1126.4000000000001</v>
      </c>
      <c r="J77" s="172"/>
      <c r="K77" s="173">
        <v>460761</v>
      </c>
      <c r="R77" s="50"/>
      <c r="S77" s="50"/>
      <c r="T77" s="50"/>
      <c r="U77" s="171"/>
      <c r="V77" s="171"/>
      <c r="W77" s="171"/>
      <c r="X77" s="171"/>
      <c r="Y77" s="171"/>
      <c r="Z77" s="171"/>
      <c r="AA77" s="171"/>
      <c r="AB77" s="171"/>
      <c r="AC77" s="171"/>
      <c r="AD77" s="171"/>
      <c r="AE77" s="171"/>
      <c r="AF77" s="171"/>
      <c r="AG77" s="171"/>
      <c r="AH77" s="171"/>
    </row>
    <row r="78" spans="3:34" s="172" customFormat="1" hidden="1">
      <c r="C78" s="1202"/>
      <c r="D78" s="173" t="str">
        <f>IF(Indice_index!$Z$1=1,"maio","May")</f>
        <v>May</v>
      </c>
      <c r="E78" s="173">
        <v>407141</v>
      </c>
      <c r="F78" s="173">
        <v>73177</v>
      </c>
      <c r="G78" s="173">
        <v>159861</v>
      </c>
      <c r="H78" s="173">
        <v>640179</v>
      </c>
      <c r="I78" s="172">
        <v>1122.4000000000001</v>
      </c>
      <c r="K78" s="173">
        <v>460119</v>
      </c>
      <c r="R78" s="162"/>
      <c r="S78" s="162"/>
      <c r="T78" s="162"/>
      <c r="U78" s="173"/>
      <c r="V78" s="173"/>
      <c r="W78" s="173"/>
      <c r="X78" s="173"/>
      <c r="Y78" s="173"/>
      <c r="Z78" s="173"/>
      <c r="AA78" s="173"/>
      <c r="AB78" s="173"/>
      <c r="AC78" s="173"/>
      <c r="AD78" s="173"/>
      <c r="AE78" s="173"/>
      <c r="AF78" s="173"/>
      <c r="AG78" s="173"/>
      <c r="AH78" s="173"/>
    </row>
    <row r="79" spans="3:34" s="172" customFormat="1" hidden="1">
      <c r="C79" s="1202"/>
      <c r="D79" s="173" t="str">
        <f>IF(Indice_index!$Z$1=1,"junho","June")</f>
        <v>June</v>
      </c>
      <c r="E79" s="173">
        <v>407346</v>
      </c>
      <c r="F79" s="173">
        <v>73104</v>
      </c>
      <c r="G79" s="173">
        <v>160094</v>
      </c>
      <c r="H79" s="173">
        <v>640544</v>
      </c>
      <c r="I79" s="172">
        <v>1121.5999999999999</v>
      </c>
      <c r="K79" s="173">
        <v>459273</v>
      </c>
      <c r="R79" s="162"/>
      <c r="S79" s="162"/>
      <c r="T79" s="162"/>
      <c r="U79" s="173"/>
      <c r="V79" s="173"/>
      <c r="W79" s="173"/>
      <c r="X79" s="173"/>
      <c r="Y79" s="173"/>
      <c r="Z79" s="173"/>
      <c r="AA79" s="173"/>
      <c r="AB79" s="173"/>
      <c r="AC79" s="173"/>
      <c r="AD79" s="173"/>
      <c r="AE79" s="173"/>
      <c r="AF79" s="173"/>
      <c r="AG79" s="173"/>
      <c r="AH79" s="173"/>
    </row>
    <row r="80" spans="3:34" s="230" customFormat="1" hidden="1">
      <c r="C80" s="1202"/>
      <c r="D80" s="173" t="str">
        <f>IF(Indice_index!$Z$1=1,"julho","July")</f>
        <v>July</v>
      </c>
      <c r="E80" s="173">
        <v>407953</v>
      </c>
      <c r="F80" s="173">
        <v>73062</v>
      </c>
      <c r="G80" s="173">
        <v>160095</v>
      </c>
      <c r="H80" s="173">
        <v>641110</v>
      </c>
      <c r="I80" s="172">
        <v>2155.1999999999998</v>
      </c>
      <c r="J80" s="172"/>
      <c r="K80" s="173">
        <v>458272</v>
      </c>
      <c r="R80" s="50"/>
      <c r="S80" s="50"/>
      <c r="T80" s="50"/>
      <c r="U80" s="171"/>
      <c r="V80" s="171"/>
      <c r="W80" s="171"/>
      <c r="X80" s="171"/>
      <c r="Y80" s="171"/>
      <c r="Z80" s="171"/>
      <c r="AA80" s="171"/>
      <c r="AB80" s="171"/>
      <c r="AC80" s="171"/>
      <c r="AD80" s="171"/>
      <c r="AE80" s="171"/>
      <c r="AF80" s="171"/>
      <c r="AG80" s="171"/>
      <c r="AH80" s="171"/>
    </row>
    <row r="81" spans="3:34" s="230" customFormat="1" hidden="1">
      <c r="C81" s="1202"/>
      <c r="D81" s="173" t="str">
        <f>IF(Indice_index!$Z$1=1,"agosto","August")</f>
        <v>August</v>
      </c>
      <c r="E81" s="173">
        <v>408428</v>
      </c>
      <c r="F81" s="173">
        <v>72982</v>
      </c>
      <c r="G81" s="173">
        <v>160151</v>
      </c>
      <c r="H81" s="173">
        <v>641561</v>
      </c>
      <c r="I81" s="172">
        <v>1131.8</v>
      </c>
      <c r="J81" s="172"/>
      <c r="K81" s="173">
        <v>457677</v>
      </c>
      <c r="R81" s="50"/>
      <c r="S81" s="50"/>
      <c r="T81" s="50"/>
      <c r="U81" s="171"/>
      <c r="V81" s="171"/>
      <c r="W81" s="171"/>
      <c r="X81" s="171"/>
      <c r="Y81" s="171"/>
      <c r="Z81" s="171"/>
      <c r="AA81" s="171"/>
      <c r="AB81" s="171"/>
      <c r="AC81" s="171"/>
      <c r="AD81" s="171"/>
      <c r="AE81" s="171"/>
      <c r="AF81" s="171"/>
      <c r="AG81" s="171"/>
      <c r="AH81" s="171"/>
    </row>
    <row r="82" spans="3:34" s="230" customFormat="1" hidden="1">
      <c r="C82" s="1202"/>
      <c r="D82" s="173" t="str">
        <f>IF(Indice_index!$Z$1=1,"setembro","September")</f>
        <v>September</v>
      </c>
      <c r="E82" s="173">
        <v>408630</v>
      </c>
      <c r="F82" s="173">
        <v>72970</v>
      </c>
      <c r="G82" s="173">
        <v>160113</v>
      </c>
      <c r="H82" s="173">
        <v>641713</v>
      </c>
      <c r="I82" s="172">
        <v>1126.4000000000001</v>
      </c>
      <c r="J82" s="172"/>
      <c r="K82" s="173">
        <v>456190</v>
      </c>
      <c r="R82" s="50"/>
      <c r="S82" s="50"/>
      <c r="T82" s="50"/>
      <c r="U82" s="171"/>
      <c r="V82" s="171"/>
      <c r="W82" s="171"/>
      <c r="X82" s="171"/>
      <c r="Y82" s="171"/>
      <c r="Z82" s="171"/>
      <c r="AA82" s="171"/>
      <c r="AB82" s="171"/>
      <c r="AC82" s="171"/>
      <c r="AD82" s="171"/>
      <c r="AE82" s="171"/>
      <c r="AF82" s="171"/>
      <c r="AG82" s="171"/>
      <c r="AH82" s="171"/>
    </row>
    <row r="83" spans="3:34" s="230" customFormat="1" hidden="1">
      <c r="C83" s="1202"/>
      <c r="D83" s="173" t="str">
        <f>IF(Indice_index!$Z$1=1,"outubro","October")</f>
        <v>October</v>
      </c>
      <c r="E83" s="173">
        <v>408900</v>
      </c>
      <c r="F83" s="173">
        <v>72837</v>
      </c>
      <c r="G83" s="173">
        <v>163540</v>
      </c>
      <c r="H83" s="173">
        <v>645277</v>
      </c>
      <c r="I83" s="172">
        <v>1128.7</v>
      </c>
      <c r="J83" s="172"/>
      <c r="K83" s="173">
        <v>455463</v>
      </c>
      <c r="R83" s="50"/>
      <c r="S83" s="50"/>
      <c r="T83" s="50"/>
      <c r="U83" s="171"/>
      <c r="V83" s="171"/>
      <c r="W83" s="171"/>
      <c r="X83" s="171"/>
      <c r="Y83" s="171"/>
      <c r="Z83" s="171"/>
      <c r="AA83" s="171"/>
      <c r="AB83" s="171"/>
      <c r="AC83" s="171"/>
      <c r="AD83" s="171"/>
      <c r="AE83" s="171"/>
      <c r="AF83" s="171"/>
      <c r="AG83" s="171"/>
      <c r="AH83" s="171"/>
    </row>
    <row r="84" spans="3:34" s="230" customFormat="1" hidden="1">
      <c r="C84" s="1202"/>
      <c r="D84" s="173" t="str">
        <f>IF(Indice_index!$Z$1=1,"novembro","November")</f>
        <v>November</v>
      </c>
      <c r="E84" s="173">
        <v>409275</v>
      </c>
      <c r="F84" s="173">
        <v>72804</v>
      </c>
      <c r="G84" s="173">
        <v>163607</v>
      </c>
      <c r="H84" s="173">
        <v>645686</v>
      </c>
      <c r="I84" s="172">
        <v>1647.8</v>
      </c>
      <c r="J84" s="172"/>
      <c r="K84" s="173">
        <v>454775</v>
      </c>
      <c r="R84" s="50"/>
      <c r="S84" s="50"/>
      <c r="T84" s="50"/>
      <c r="U84" s="171"/>
      <c r="V84" s="171"/>
      <c r="W84" s="171"/>
      <c r="X84" s="171"/>
      <c r="Y84" s="171"/>
      <c r="Z84" s="171"/>
      <c r="AA84" s="171"/>
      <c r="AB84" s="171"/>
      <c r="AC84" s="171"/>
      <c r="AD84" s="171"/>
      <c r="AE84" s="171"/>
      <c r="AF84" s="171"/>
      <c r="AG84" s="171"/>
      <c r="AH84" s="171"/>
    </row>
    <row r="85" spans="3:34" s="230" customFormat="1" hidden="1">
      <c r="C85" s="1202"/>
      <c r="D85" s="173" t="str">
        <f>IF(Indice_index!$Z$1=1,"dezembro","December")</f>
        <v>December</v>
      </c>
      <c r="E85" s="173">
        <v>409132</v>
      </c>
      <c r="F85" s="173">
        <v>72745</v>
      </c>
      <c r="G85" s="173">
        <v>163836</v>
      </c>
      <c r="H85" s="173">
        <v>645713</v>
      </c>
      <c r="I85" s="172">
        <v>1132.8</v>
      </c>
      <c r="J85" s="172"/>
      <c r="K85" s="173">
        <v>453977</v>
      </c>
      <c r="R85" s="50"/>
      <c r="S85" s="50"/>
      <c r="T85" s="50"/>
      <c r="U85" s="171"/>
      <c r="V85" s="171"/>
      <c r="W85" s="171"/>
      <c r="X85" s="171"/>
      <c r="Y85" s="171"/>
      <c r="Z85" s="171"/>
      <c r="AA85" s="171"/>
      <c r="AB85" s="171"/>
      <c r="AC85" s="171"/>
      <c r="AD85" s="171"/>
      <c r="AE85" s="171"/>
      <c r="AF85" s="171"/>
      <c r="AG85" s="171"/>
      <c r="AH85" s="171"/>
    </row>
    <row r="86" spans="3:34" s="230" customFormat="1" ht="15" hidden="1" customHeight="1">
      <c r="C86" s="1203">
        <v>2018</v>
      </c>
      <c r="D86" s="173"/>
      <c r="E86" s="173"/>
      <c r="F86" s="173"/>
      <c r="G86" s="173"/>
      <c r="H86" s="173"/>
      <c r="I86" s="172"/>
      <c r="J86" s="172"/>
      <c r="K86" s="173"/>
      <c r="R86" s="50"/>
      <c r="S86" s="50"/>
      <c r="T86" s="50"/>
      <c r="U86" s="171"/>
      <c r="V86" s="171"/>
      <c r="W86" s="171"/>
      <c r="X86" s="171"/>
      <c r="Y86" s="171"/>
      <c r="Z86" s="171"/>
      <c r="AA86" s="171"/>
      <c r="AB86" s="171"/>
      <c r="AC86" s="171"/>
      <c r="AD86" s="171"/>
      <c r="AE86" s="171"/>
      <c r="AF86" s="171"/>
      <c r="AG86" s="171"/>
      <c r="AH86" s="171"/>
    </row>
    <row r="87" spans="3:34" s="230" customFormat="1" ht="15" hidden="1" customHeight="1">
      <c r="C87" s="1202"/>
      <c r="D87" s="173" t="str">
        <f>IF(Indice_index!$Z$1=1,"janeiro","January")</f>
        <v>January</v>
      </c>
      <c r="E87" s="171">
        <v>409052</v>
      </c>
      <c r="F87" s="171">
        <v>72672</v>
      </c>
      <c r="G87" s="171">
        <v>163845</v>
      </c>
      <c r="H87" s="171">
        <v>645569</v>
      </c>
      <c r="I87" s="230">
        <v>1116.3</v>
      </c>
      <c r="K87" s="171">
        <v>452574</v>
      </c>
      <c r="M87" s="233"/>
      <c r="N87" s="233"/>
      <c r="O87" s="233"/>
      <c r="P87" s="233"/>
      <c r="Q87" s="233"/>
      <c r="R87" s="233"/>
      <c r="S87" s="233"/>
      <c r="T87" s="50"/>
      <c r="U87" s="171"/>
      <c r="V87" s="171"/>
      <c r="W87" s="171"/>
      <c r="X87" s="171"/>
      <c r="Y87" s="171"/>
      <c r="Z87" s="171"/>
      <c r="AA87" s="171"/>
      <c r="AB87" s="171"/>
      <c r="AC87" s="171"/>
      <c r="AD87" s="171"/>
      <c r="AE87" s="171"/>
      <c r="AF87" s="171"/>
      <c r="AG87" s="171"/>
      <c r="AH87" s="171"/>
    </row>
    <row r="88" spans="3:34" s="230" customFormat="1" ht="15" hidden="1" customHeight="1">
      <c r="C88" s="1202"/>
      <c r="D88" s="173" t="str">
        <f>IF(Indice_index!$Z$1=1,"fevereiro","February")</f>
        <v>February</v>
      </c>
      <c r="E88" s="171">
        <v>408712</v>
      </c>
      <c r="F88" s="171">
        <v>72479</v>
      </c>
      <c r="G88" s="171">
        <v>163737</v>
      </c>
      <c r="H88" s="171">
        <v>644928</v>
      </c>
      <c r="I88" s="230">
        <v>1102.5</v>
      </c>
      <c r="K88" s="171">
        <v>451857</v>
      </c>
      <c r="M88" s="233"/>
      <c r="N88" s="233"/>
      <c r="O88" s="233"/>
      <c r="P88" s="233"/>
      <c r="Q88" s="233"/>
      <c r="R88" s="233"/>
      <c r="S88" s="233"/>
      <c r="T88" s="50"/>
      <c r="U88" s="171"/>
      <c r="V88" s="171"/>
      <c r="W88" s="171"/>
      <c r="X88" s="171"/>
      <c r="Y88" s="171"/>
      <c r="Z88" s="171"/>
      <c r="AA88" s="171"/>
      <c r="AB88" s="171"/>
      <c r="AC88" s="171"/>
      <c r="AD88" s="171"/>
      <c r="AE88" s="171"/>
      <c r="AF88" s="171"/>
      <c r="AG88" s="171"/>
      <c r="AH88" s="171"/>
    </row>
    <row r="89" spans="3:34" s="230" customFormat="1" ht="15" hidden="1" customHeight="1">
      <c r="C89" s="1202"/>
      <c r="D89" s="173" t="str">
        <f>IF(Indice_index!$Z$1=1,"março","March")</f>
        <v>March</v>
      </c>
      <c r="E89" s="171">
        <v>408346</v>
      </c>
      <c r="F89" s="171">
        <v>72372</v>
      </c>
      <c r="G89" s="171">
        <v>163498</v>
      </c>
      <c r="H89" s="171">
        <v>644216</v>
      </c>
      <c r="I89" s="230">
        <v>1090.8</v>
      </c>
      <c r="K89" s="171">
        <v>451216</v>
      </c>
      <c r="M89" s="233"/>
      <c r="N89" s="233"/>
      <c r="O89" s="233"/>
      <c r="P89" s="233"/>
      <c r="Q89" s="233"/>
      <c r="R89" s="233"/>
      <c r="S89" s="233"/>
      <c r="T89" s="50"/>
      <c r="U89" s="171"/>
      <c r="V89" s="171"/>
      <c r="W89" s="171"/>
      <c r="X89" s="171"/>
      <c r="Y89" s="171"/>
      <c r="Z89" s="171"/>
      <c r="AA89" s="171"/>
      <c r="AB89" s="171"/>
      <c r="AC89" s="171"/>
      <c r="AD89" s="171"/>
      <c r="AE89" s="171"/>
      <c r="AF89" s="171"/>
      <c r="AG89" s="171"/>
      <c r="AH89" s="171"/>
    </row>
    <row r="90" spans="3:34" s="230" customFormat="1" ht="15" hidden="1" customHeight="1">
      <c r="C90" s="1202"/>
      <c r="D90" s="173" t="str">
        <f>IF(Indice_index!$Z$1=1,"abril","April")</f>
        <v>April</v>
      </c>
      <c r="E90" s="171">
        <v>407815</v>
      </c>
      <c r="F90" s="171">
        <v>72188</v>
      </c>
      <c r="G90" s="171">
        <v>163281</v>
      </c>
      <c r="H90" s="171">
        <v>643284</v>
      </c>
      <c r="I90" s="230">
        <v>1100.2</v>
      </c>
      <c r="K90" s="171">
        <v>450496</v>
      </c>
      <c r="M90" s="233"/>
      <c r="N90" s="233"/>
      <c r="O90" s="233"/>
      <c r="P90" s="233"/>
      <c r="Q90" s="233"/>
      <c r="R90" s="233"/>
      <c r="S90" s="233"/>
      <c r="T90" s="50"/>
      <c r="U90" s="171"/>
      <c r="V90" s="171"/>
      <c r="W90" s="171"/>
      <c r="X90" s="171"/>
      <c r="Y90" s="171"/>
      <c r="Z90" s="171"/>
      <c r="AA90" s="171"/>
      <c r="AB90" s="171"/>
      <c r="AC90" s="171"/>
      <c r="AD90" s="171"/>
      <c r="AE90" s="171"/>
      <c r="AF90" s="171"/>
      <c r="AG90" s="171"/>
      <c r="AH90" s="171"/>
    </row>
    <row r="91" spans="3:34" s="230" customFormat="1" ht="15" hidden="1" customHeight="1">
      <c r="C91" s="1202"/>
      <c r="D91" s="173" t="str">
        <f>IF(Indice_index!$Z$1=1,"maio","May")</f>
        <v>May</v>
      </c>
      <c r="E91" s="171">
        <v>407971</v>
      </c>
      <c r="F91" s="171">
        <v>72134</v>
      </c>
      <c r="G91" s="171">
        <v>162934</v>
      </c>
      <c r="H91" s="171">
        <v>643039</v>
      </c>
      <c r="I91" s="230">
        <v>1095.9000000000001</v>
      </c>
      <c r="K91" s="171">
        <v>449662</v>
      </c>
      <c r="M91" s="233"/>
      <c r="N91" s="233"/>
      <c r="O91" s="233"/>
      <c r="P91" s="233"/>
      <c r="Q91" s="233"/>
      <c r="R91" s="233"/>
      <c r="S91" s="233"/>
      <c r="T91" s="50"/>
      <c r="U91" s="171"/>
      <c r="V91" s="171"/>
      <c r="W91" s="171"/>
      <c r="X91" s="171"/>
      <c r="Y91" s="171"/>
      <c r="Z91" s="171"/>
      <c r="AA91" s="171"/>
      <c r="AB91" s="171"/>
      <c r="AC91" s="171"/>
      <c r="AD91" s="171"/>
      <c r="AE91" s="171"/>
      <c r="AF91" s="171"/>
      <c r="AG91" s="171"/>
      <c r="AH91" s="171"/>
    </row>
    <row r="92" spans="3:34" s="230" customFormat="1" ht="15" hidden="1" customHeight="1">
      <c r="C92" s="1202"/>
      <c r="D92" s="173" t="str">
        <f>IF(Indice_index!$Z$1=1,"junho","June")</f>
        <v>June</v>
      </c>
      <c r="E92" s="171">
        <v>407744</v>
      </c>
      <c r="F92" s="171">
        <v>72014</v>
      </c>
      <c r="G92" s="171">
        <v>162816</v>
      </c>
      <c r="H92" s="171">
        <v>642574</v>
      </c>
      <c r="I92" s="230">
        <v>1096.5999999999999</v>
      </c>
      <c r="K92" s="171">
        <v>448884</v>
      </c>
      <c r="M92" s="233"/>
      <c r="N92" s="233"/>
      <c r="O92" s="233"/>
      <c r="P92" s="233"/>
      <c r="Q92" s="233"/>
      <c r="R92" s="233"/>
      <c r="S92" s="233"/>
      <c r="T92" s="50"/>
      <c r="U92" s="171"/>
      <c r="V92" s="171"/>
      <c r="W92" s="171"/>
      <c r="X92" s="171"/>
      <c r="Y92" s="171"/>
      <c r="Z92" s="171"/>
      <c r="AA92" s="171"/>
      <c r="AB92" s="171"/>
      <c r="AC92" s="171"/>
      <c r="AD92" s="171"/>
      <c r="AE92" s="171"/>
      <c r="AF92" s="171"/>
      <c r="AG92" s="171"/>
      <c r="AH92" s="171"/>
    </row>
    <row r="93" spans="3:34" s="230" customFormat="1" ht="15" hidden="1" customHeight="1">
      <c r="C93" s="1202"/>
      <c r="D93" s="173" t="str">
        <f>IF(Indice_index!$Z$1=1,"julho","July")</f>
        <v>July</v>
      </c>
      <c r="E93" s="171">
        <v>407647</v>
      </c>
      <c r="F93" s="171">
        <v>71945</v>
      </c>
      <c r="G93" s="171">
        <v>162897</v>
      </c>
      <c r="H93" s="171">
        <v>642489</v>
      </c>
      <c r="I93" s="230">
        <v>2144.1999999999998</v>
      </c>
      <c r="K93" s="171">
        <v>448063</v>
      </c>
      <c r="M93" s="233"/>
      <c r="N93" s="233"/>
      <c r="O93" s="233"/>
      <c r="P93" s="233"/>
      <c r="Q93" s="233"/>
      <c r="R93" s="233"/>
      <c r="S93" s="233"/>
      <c r="T93" s="50"/>
      <c r="U93" s="171"/>
      <c r="V93" s="171"/>
      <c r="W93" s="171"/>
      <c r="X93" s="171"/>
      <c r="Y93" s="171"/>
      <c r="Z93" s="171"/>
      <c r="AA93" s="171"/>
      <c r="AB93" s="171"/>
      <c r="AC93" s="171"/>
      <c r="AD93" s="171"/>
      <c r="AE93" s="171"/>
      <c r="AF93" s="171"/>
      <c r="AG93" s="171"/>
      <c r="AH93" s="171"/>
    </row>
    <row r="94" spans="3:34" s="230" customFormat="1" ht="15" hidden="1" customHeight="1">
      <c r="C94" s="1202"/>
      <c r="D94" s="173" t="str">
        <f>IF(Indice_index!$Z$1=1,"agosto","August")</f>
        <v>August</v>
      </c>
      <c r="E94" s="173">
        <v>407684</v>
      </c>
      <c r="F94" s="173">
        <v>71867</v>
      </c>
      <c r="G94" s="173">
        <v>162936</v>
      </c>
      <c r="H94" s="173">
        <v>642487</v>
      </c>
      <c r="I94" s="172">
        <v>1097.7</v>
      </c>
      <c r="J94" s="172"/>
      <c r="K94" s="173">
        <v>447165</v>
      </c>
      <c r="M94" s="233"/>
      <c r="N94" s="233"/>
      <c r="O94" s="233"/>
      <c r="P94" s="233"/>
      <c r="Q94" s="233"/>
      <c r="R94" s="233"/>
      <c r="S94" s="233"/>
      <c r="T94" s="50"/>
      <c r="U94" s="171"/>
      <c r="V94" s="171"/>
      <c r="W94" s="171"/>
      <c r="X94" s="171"/>
      <c r="Y94" s="171"/>
      <c r="Z94" s="171"/>
      <c r="AA94" s="171"/>
      <c r="AB94" s="171"/>
      <c r="AC94" s="171"/>
      <c r="AD94" s="171"/>
      <c r="AE94" s="171"/>
      <c r="AF94" s="171"/>
      <c r="AG94" s="171"/>
      <c r="AH94" s="171"/>
    </row>
    <row r="95" spans="3:34" s="230" customFormat="1" ht="15" hidden="1" customHeight="1">
      <c r="C95" s="1202"/>
      <c r="D95" s="173" t="str">
        <f>IF(Indice_index!$Z$1=1,"setembro","September")</f>
        <v>September</v>
      </c>
      <c r="E95" s="173">
        <v>407781</v>
      </c>
      <c r="F95" s="173">
        <v>71807</v>
      </c>
      <c r="G95" s="173">
        <v>162807</v>
      </c>
      <c r="H95" s="173">
        <v>642395</v>
      </c>
      <c r="I95" s="172">
        <v>1098.4000000000001</v>
      </c>
      <c r="J95" s="172"/>
      <c r="K95" s="173">
        <v>446011</v>
      </c>
      <c r="M95" s="233"/>
      <c r="N95" s="233"/>
      <c r="O95" s="233"/>
      <c r="P95" s="233"/>
      <c r="Q95" s="233"/>
      <c r="R95" s="233"/>
      <c r="S95" s="233"/>
      <c r="T95" s="50"/>
      <c r="U95" s="171"/>
      <c r="V95" s="171"/>
      <c r="W95" s="171"/>
      <c r="X95" s="171"/>
      <c r="Y95" s="171"/>
      <c r="Z95" s="171"/>
      <c r="AA95" s="171"/>
      <c r="AB95" s="171"/>
      <c r="AC95" s="171"/>
      <c r="AD95" s="171"/>
      <c r="AE95" s="171"/>
      <c r="AF95" s="171"/>
      <c r="AG95" s="171"/>
      <c r="AH95" s="171"/>
    </row>
    <row r="96" spans="3:34" s="230" customFormat="1" ht="15" hidden="1" customHeight="1">
      <c r="C96" s="1202"/>
      <c r="D96" s="173" t="str">
        <f>IF(Indice_index!$Z$1=1,"outubro","October")</f>
        <v>October</v>
      </c>
      <c r="E96" s="173">
        <v>407480</v>
      </c>
      <c r="F96" s="173">
        <v>71695</v>
      </c>
      <c r="G96" s="173">
        <v>162615</v>
      </c>
      <c r="H96" s="173">
        <v>641790</v>
      </c>
      <c r="I96" s="172">
        <v>1108.7</v>
      </c>
      <c r="J96" s="172"/>
      <c r="K96" s="173">
        <v>445215</v>
      </c>
      <c r="M96" s="233"/>
      <c r="N96" s="233"/>
      <c r="O96" s="233"/>
      <c r="P96" s="233"/>
      <c r="Q96" s="233"/>
      <c r="R96" s="233"/>
      <c r="S96" s="233"/>
      <c r="T96" s="50"/>
      <c r="U96" s="171"/>
      <c r="V96" s="171"/>
      <c r="W96" s="171"/>
      <c r="X96" s="171"/>
      <c r="Y96" s="171"/>
      <c r="Z96" s="171"/>
      <c r="AA96" s="171"/>
      <c r="AB96" s="171"/>
      <c r="AC96" s="171"/>
      <c r="AD96" s="171"/>
      <c r="AE96" s="171"/>
      <c r="AF96" s="171"/>
      <c r="AG96" s="171"/>
      <c r="AH96" s="171"/>
    </row>
    <row r="97" spans="3:34" s="230" customFormat="1" ht="15" hidden="1" customHeight="1">
      <c r="C97" s="1202"/>
      <c r="D97" s="173" t="str">
        <f>IF(Indice_index!$Z$1=1,"novembro","November")</f>
        <v>November</v>
      </c>
      <c r="E97" s="173">
        <v>407421</v>
      </c>
      <c r="F97" s="173">
        <v>71630</v>
      </c>
      <c r="G97" s="173">
        <v>162922</v>
      </c>
      <c r="H97" s="173">
        <v>641973</v>
      </c>
      <c r="I97" s="172">
        <v>2172.6999999999998</v>
      </c>
      <c r="J97" s="172"/>
      <c r="K97" s="173">
        <v>444449</v>
      </c>
      <c r="M97" s="233"/>
      <c r="N97" s="233"/>
      <c r="O97" s="233"/>
      <c r="P97" s="233"/>
      <c r="Q97" s="233"/>
      <c r="R97" s="233"/>
      <c r="S97" s="233"/>
      <c r="T97" s="50"/>
      <c r="U97" s="171"/>
      <c r="V97" s="171"/>
      <c r="W97" s="171"/>
      <c r="X97" s="171"/>
      <c r="Y97" s="171"/>
      <c r="Z97" s="171"/>
      <c r="AA97" s="171"/>
      <c r="AB97" s="171"/>
      <c r="AC97" s="171"/>
      <c r="AD97" s="171"/>
      <c r="AE97" s="171"/>
      <c r="AF97" s="171"/>
      <c r="AG97" s="171"/>
      <c r="AH97" s="171"/>
    </row>
    <row r="98" spans="3:34" s="172" customFormat="1" ht="15" hidden="1" customHeight="1">
      <c r="C98" s="1204"/>
      <c r="D98" s="173" t="str">
        <f>IF(Indice_index!$Z$1=1,"dezembro","December")</f>
        <v>December</v>
      </c>
      <c r="E98" s="173">
        <v>407476</v>
      </c>
      <c r="F98" s="173">
        <v>71656</v>
      </c>
      <c r="G98" s="173">
        <v>163168</v>
      </c>
      <c r="H98" s="173">
        <v>642300</v>
      </c>
      <c r="I98" s="172">
        <v>1119.8</v>
      </c>
      <c r="J98" s="173"/>
      <c r="K98" s="173">
        <v>443528</v>
      </c>
      <c r="M98" s="233"/>
      <c r="N98" s="233"/>
      <c r="O98" s="233"/>
      <c r="P98" s="233"/>
      <c r="Q98" s="233"/>
      <c r="R98" s="233"/>
      <c r="S98" s="233"/>
      <c r="T98" s="162"/>
      <c r="U98" s="173"/>
      <c r="V98" s="173"/>
      <c r="W98" s="173"/>
      <c r="X98" s="173"/>
      <c r="Y98" s="173"/>
      <c r="Z98" s="173"/>
      <c r="AA98" s="173"/>
      <c r="AB98" s="173"/>
      <c r="AC98" s="173"/>
      <c r="AD98" s="173"/>
      <c r="AE98" s="173"/>
      <c r="AF98" s="173"/>
      <c r="AG98" s="173"/>
      <c r="AH98" s="173"/>
    </row>
    <row r="99" spans="3:34" s="230" customFormat="1" ht="15" customHeight="1">
      <c r="C99" s="1203">
        <v>2019</v>
      </c>
      <c r="D99" s="173"/>
      <c r="E99" s="173"/>
      <c r="F99" s="173"/>
      <c r="G99" s="173"/>
      <c r="H99" s="173"/>
      <c r="I99" s="172"/>
      <c r="J99" s="172"/>
      <c r="K99" s="173"/>
      <c r="M99" s="233"/>
      <c r="N99" s="233"/>
      <c r="O99" s="233"/>
      <c r="P99" s="233"/>
      <c r="Q99" s="233"/>
      <c r="R99" s="233"/>
      <c r="S99" s="233"/>
      <c r="T99" s="50"/>
      <c r="U99" s="171"/>
      <c r="V99" s="171"/>
      <c r="W99" s="171"/>
      <c r="X99" s="171"/>
      <c r="Y99" s="171"/>
      <c r="Z99" s="171"/>
      <c r="AA99" s="171"/>
      <c r="AB99" s="171"/>
      <c r="AC99" s="171"/>
      <c r="AD99" s="171"/>
      <c r="AE99" s="171"/>
      <c r="AF99" s="171"/>
      <c r="AG99" s="171"/>
      <c r="AH99" s="171"/>
    </row>
    <row r="100" spans="3:34" s="230" customFormat="1" ht="15" customHeight="1">
      <c r="C100" s="1202"/>
      <c r="D100" s="173" t="str">
        <f>IF(Indice_index!$Z$1=1,"janeiro","January")</f>
        <v>January</v>
      </c>
      <c r="E100" s="1205">
        <v>407457</v>
      </c>
      <c r="F100" s="1205">
        <v>71632</v>
      </c>
      <c r="G100" s="1205">
        <v>163301</v>
      </c>
      <c r="H100" s="1205">
        <v>642390</v>
      </c>
      <c r="I100" s="1206">
        <v>1144.9000000000001</v>
      </c>
      <c r="J100" s="1206"/>
      <c r="K100" s="1205">
        <v>442491</v>
      </c>
      <c r="M100" s="233"/>
      <c r="N100" s="233"/>
      <c r="O100" s="233"/>
      <c r="P100" s="233"/>
      <c r="Q100" s="233"/>
      <c r="R100" s="233"/>
      <c r="S100" s="233"/>
      <c r="T100" s="50"/>
      <c r="U100" s="171"/>
      <c r="V100" s="171"/>
      <c r="W100" s="171"/>
      <c r="X100" s="171"/>
      <c r="Y100" s="171"/>
      <c r="Z100" s="171"/>
      <c r="AA100" s="171"/>
      <c r="AB100" s="171"/>
      <c r="AC100" s="171"/>
      <c r="AD100" s="171"/>
      <c r="AE100" s="171"/>
      <c r="AF100" s="171"/>
      <c r="AG100" s="171"/>
      <c r="AH100" s="171"/>
    </row>
    <row r="101" spans="3:34" s="230" customFormat="1" ht="15" customHeight="1">
      <c r="C101" s="1202"/>
      <c r="D101" s="173" t="str">
        <f>IF(Indice_index!$Z$1=1,"fevereiro","February")</f>
        <v>February</v>
      </c>
      <c r="E101" s="1205">
        <v>407174</v>
      </c>
      <c r="F101" s="1205">
        <v>71523</v>
      </c>
      <c r="G101" s="1205">
        <v>163477</v>
      </c>
      <c r="H101" s="1205">
        <v>642174</v>
      </c>
      <c r="I101" s="1206">
        <v>1120.0999999999999</v>
      </c>
      <c r="J101" s="1206"/>
      <c r="K101" s="1205">
        <v>441603</v>
      </c>
      <c r="M101" s="233"/>
      <c r="N101" s="233"/>
      <c r="O101" s="233"/>
      <c r="P101" s="233"/>
      <c r="Q101" s="233"/>
      <c r="R101" s="233"/>
      <c r="S101" s="233"/>
      <c r="T101" s="50"/>
      <c r="U101" s="171"/>
      <c r="V101" s="171"/>
      <c r="W101" s="171"/>
      <c r="X101" s="171"/>
      <c r="Y101" s="171"/>
      <c r="Z101" s="171"/>
      <c r="AA101" s="171"/>
      <c r="AB101" s="171"/>
      <c r="AC101" s="171"/>
      <c r="AD101" s="171"/>
      <c r="AE101" s="171"/>
      <c r="AF101" s="171"/>
      <c r="AG101" s="171"/>
      <c r="AH101" s="171"/>
    </row>
    <row r="102" spans="3:34" s="230" customFormat="1" ht="15" customHeight="1">
      <c r="C102" s="1202"/>
      <c r="D102" s="173" t="str">
        <f>IF(Indice_index!$Z$1=1,"março","March")</f>
        <v>March</v>
      </c>
      <c r="E102" s="1205">
        <v>406468</v>
      </c>
      <c r="F102" s="1205">
        <v>71486</v>
      </c>
      <c r="G102" s="1205">
        <v>163448</v>
      </c>
      <c r="H102" s="1205">
        <v>641402</v>
      </c>
      <c r="I102" s="1206">
        <v>1108.9000000000001</v>
      </c>
      <c r="J102" s="1206"/>
      <c r="K102" s="1205">
        <v>440601</v>
      </c>
      <c r="M102" s="233"/>
      <c r="N102" s="233"/>
      <c r="O102" s="233"/>
      <c r="P102" s="233"/>
      <c r="Q102" s="233"/>
      <c r="R102" s="233"/>
      <c r="S102" s="233"/>
      <c r="T102" s="50"/>
      <c r="U102" s="171"/>
      <c r="V102" s="171"/>
      <c r="W102" s="171"/>
      <c r="X102" s="171"/>
      <c r="Y102" s="171"/>
      <c r="Z102" s="171"/>
      <c r="AA102" s="171"/>
      <c r="AB102" s="171"/>
      <c r="AC102" s="171"/>
      <c r="AD102" s="171"/>
      <c r="AE102" s="171"/>
      <c r="AF102" s="171"/>
      <c r="AG102" s="171"/>
      <c r="AH102" s="171"/>
    </row>
    <row r="103" spans="3:34" s="230" customFormat="1" ht="15" customHeight="1">
      <c r="C103" s="1202"/>
      <c r="D103" s="173" t="str">
        <f>IF(Indice_index!$Z$1=1,"abril","April")</f>
        <v>April</v>
      </c>
      <c r="E103" s="1205">
        <v>406554</v>
      </c>
      <c r="F103" s="1205">
        <v>71547</v>
      </c>
      <c r="G103" s="1205">
        <v>163401</v>
      </c>
      <c r="H103" s="1205">
        <v>641502</v>
      </c>
      <c r="I103" s="1206">
        <v>1115.8</v>
      </c>
      <c r="J103" s="1206"/>
      <c r="K103" s="1205">
        <v>439717</v>
      </c>
      <c r="M103" s="233"/>
      <c r="N103" s="233"/>
      <c r="O103" s="233"/>
      <c r="P103" s="233"/>
      <c r="Q103" s="233"/>
      <c r="R103" s="233"/>
      <c r="S103" s="233"/>
      <c r="T103" s="50"/>
      <c r="U103" s="171"/>
      <c r="V103" s="171"/>
      <c r="W103" s="171"/>
      <c r="X103" s="171"/>
      <c r="Y103" s="171"/>
      <c r="Z103" s="171"/>
      <c r="AA103" s="171"/>
      <c r="AB103" s="171"/>
      <c r="AC103" s="171"/>
      <c r="AD103" s="171"/>
      <c r="AE103" s="171"/>
      <c r="AF103" s="171"/>
      <c r="AG103" s="171"/>
      <c r="AH103" s="171"/>
    </row>
    <row r="104" spans="3:34" s="230" customFormat="1" ht="15" customHeight="1">
      <c r="C104" s="1202"/>
      <c r="D104" s="173" t="str">
        <f>IF(Indice_index!$Z$1=1,"maio","May")</f>
        <v>May</v>
      </c>
      <c r="E104" s="1205">
        <v>406842</v>
      </c>
      <c r="F104" s="1205">
        <v>71546</v>
      </c>
      <c r="G104" s="1205">
        <v>163306</v>
      </c>
      <c r="H104" s="1205">
        <v>641694</v>
      </c>
      <c r="I104" s="1206">
        <v>1112.3</v>
      </c>
      <c r="J104" s="1206"/>
      <c r="K104" s="1205">
        <v>438794</v>
      </c>
      <c r="M104" s="233"/>
      <c r="N104" s="233"/>
      <c r="O104" s="233"/>
      <c r="P104" s="233"/>
      <c r="Q104" s="233"/>
      <c r="R104" s="233"/>
      <c r="S104" s="233"/>
      <c r="T104" s="50"/>
      <c r="U104" s="171"/>
      <c r="V104" s="171"/>
      <c r="W104" s="171"/>
      <c r="X104" s="171"/>
      <c r="Y104" s="171"/>
      <c r="Z104" s="171"/>
      <c r="AA104" s="171"/>
      <c r="AB104" s="171"/>
      <c r="AC104" s="171"/>
      <c r="AD104" s="171"/>
      <c r="AE104" s="171"/>
      <c r="AF104" s="171"/>
      <c r="AG104" s="171"/>
      <c r="AH104" s="171"/>
    </row>
    <row r="105" spans="3:34" s="230" customFormat="1" ht="15" customHeight="1">
      <c r="C105" s="1202"/>
      <c r="D105" s="173" t="str">
        <f>IF(Indice_index!$Z$1=1,"junho","June")</f>
        <v>June</v>
      </c>
      <c r="E105" s="1205">
        <v>406804</v>
      </c>
      <c r="F105" s="1205">
        <v>71532</v>
      </c>
      <c r="G105" s="1205">
        <v>163596</v>
      </c>
      <c r="H105" s="1205">
        <v>641932</v>
      </c>
      <c r="I105" s="1206">
        <v>1113.0999999999999</v>
      </c>
      <c r="J105" s="1206"/>
      <c r="K105" s="1205">
        <v>437767</v>
      </c>
      <c r="M105" s="233"/>
      <c r="N105" s="233"/>
      <c r="O105" s="233"/>
      <c r="P105" s="233"/>
      <c r="Q105" s="233"/>
      <c r="R105" s="233"/>
      <c r="S105" s="233"/>
      <c r="T105" s="50"/>
      <c r="U105" s="171"/>
      <c r="V105" s="171"/>
      <c r="W105" s="171"/>
      <c r="X105" s="171"/>
      <c r="Y105" s="171"/>
      <c r="Z105" s="171"/>
      <c r="AA105" s="171"/>
      <c r="AB105" s="171"/>
      <c r="AC105" s="171"/>
      <c r="AD105" s="171"/>
      <c r="AE105" s="171"/>
      <c r="AF105" s="171"/>
      <c r="AG105" s="171"/>
      <c r="AH105" s="171"/>
    </row>
    <row r="106" spans="3:34" s="230" customFormat="1" ht="15" customHeight="1">
      <c r="C106" s="1202"/>
      <c r="D106" s="173" t="str">
        <f>IF(Indice_index!$Z$1=1,"julho","July")</f>
        <v>July</v>
      </c>
      <c r="E106" s="1205">
        <v>407083</v>
      </c>
      <c r="F106" s="1205">
        <v>71510</v>
      </c>
      <c r="G106" s="1205">
        <v>163772</v>
      </c>
      <c r="H106" s="1205">
        <v>642365</v>
      </c>
      <c r="I106" s="1206">
        <v>2173.6</v>
      </c>
      <c r="J106" s="1206"/>
      <c r="K106" s="1205">
        <v>436900</v>
      </c>
      <c r="M106" s="233"/>
      <c r="N106" s="233"/>
      <c r="O106" s="233"/>
      <c r="P106" s="233"/>
      <c r="Q106" s="233"/>
      <c r="R106" s="233"/>
      <c r="S106" s="233"/>
      <c r="T106" s="50"/>
      <c r="U106" s="171"/>
      <c r="V106" s="171"/>
      <c r="W106" s="171"/>
      <c r="X106" s="171"/>
      <c r="Y106" s="171"/>
      <c r="Z106" s="171"/>
      <c r="AA106" s="171"/>
      <c r="AB106" s="171"/>
      <c r="AC106" s="171"/>
      <c r="AD106" s="171"/>
      <c r="AE106" s="171"/>
      <c r="AF106" s="171"/>
      <c r="AG106" s="171"/>
      <c r="AH106" s="171"/>
    </row>
    <row r="107" spans="3:34" s="230" customFormat="1" ht="15" customHeight="1">
      <c r="C107" s="1202"/>
      <c r="D107" s="173" t="str">
        <f>IF(Indice_index!$Z$1=1,"agosto","August")</f>
        <v>August</v>
      </c>
      <c r="E107" s="1205">
        <v>407210</v>
      </c>
      <c r="F107" s="1205">
        <v>71452</v>
      </c>
      <c r="G107" s="1205">
        <v>164027</v>
      </c>
      <c r="H107" s="1205">
        <v>642689</v>
      </c>
      <c r="I107" s="1206">
        <v>1132.9000000000001</v>
      </c>
      <c r="J107" s="1206"/>
      <c r="K107" s="1205">
        <v>435837</v>
      </c>
      <c r="M107" s="228"/>
      <c r="N107" s="228"/>
      <c r="O107" s="228"/>
      <c r="P107" s="228"/>
      <c r="Q107" s="228"/>
      <c r="R107" s="228"/>
      <c r="S107" s="228"/>
      <c r="T107" s="50"/>
      <c r="U107" s="171"/>
      <c r="V107" s="171"/>
      <c r="W107" s="171"/>
      <c r="X107" s="171"/>
      <c r="Y107" s="171"/>
      <c r="Z107" s="171"/>
      <c r="AA107" s="171"/>
      <c r="AB107" s="171"/>
      <c r="AC107" s="171"/>
      <c r="AD107" s="171"/>
      <c r="AE107" s="171"/>
      <c r="AF107" s="171"/>
      <c r="AG107" s="171"/>
      <c r="AH107" s="171"/>
    </row>
    <row r="108" spans="3:34" s="230" customFormat="1" ht="15" customHeight="1">
      <c r="C108" s="1202"/>
      <c r="D108" s="173" t="str">
        <f>IF(Indice_index!$Z$1=1,"setembro","September")</f>
        <v>September</v>
      </c>
      <c r="E108" s="1205">
        <v>407461</v>
      </c>
      <c r="F108" s="1205">
        <v>71450</v>
      </c>
      <c r="G108" s="1205">
        <v>164231</v>
      </c>
      <c r="H108" s="1205">
        <v>643142</v>
      </c>
      <c r="I108" s="1206">
        <v>1113.5999999999999</v>
      </c>
      <c r="J108" s="1206"/>
      <c r="K108" s="1205">
        <v>434703</v>
      </c>
      <c r="M108" s="228"/>
      <c r="N108" s="228"/>
      <c r="O108" s="228"/>
      <c r="P108" s="228"/>
      <c r="Q108" s="228"/>
      <c r="R108" s="228"/>
      <c r="S108" s="228"/>
      <c r="T108" s="50"/>
      <c r="U108" s="171"/>
      <c r="V108" s="171"/>
      <c r="W108" s="171"/>
      <c r="X108" s="171"/>
      <c r="Y108" s="171"/>
      <c r="Z108" s="171"/>
      <c r="AA108" s="171"/>
      <c r="AB108" s="171"/>
      <c r="AC108" s="171"/>
      <c r="AD108" s="171"/>
      <c r="AE108" s="171"/>
      <c r="AF108" s="171"/>
      <c r="AG108" s="171"/>
      <c r="AH108" s="171"/>
    </row>
    <row r="109" spans="3:34" s="230" customFormat="1" ht="15" customHeight="1">
      <c r="C109" s="1202"/>
      <c r="D109" s="173" t="str">
        <f>IF(Indice_index!$Z$1=1,"outubro","October")</f>
        <v>October</v>
      </c>
      <c r="E109" s="1207">
        <v>407389</v>
      </c>
      <c r="F109" s="1207">
        <v>71309</v>
      </c>
      <c r="G109" s="1207">
        <v>164320</v>
      </c>
      <c r="H109" s="1207">
        <v>643018</v>
      </c>
      <c r="I109" s="1208">
        <v>1111.7</v>
      </c>
      <c r="J109" s="1208"/>
      <c r="K109" s="1207">
        <v>433596</v>
      </c>
      <c r="M109" s="228"/>
      <c r="N109" s="228"/>
      <c r="O109" s="228"/>
      <c r="P109" s="228"/>
      <c r="Q109" s="228"/>
      <c r="R109" s="228"/>
      <c r="S109" s="228"/>
      <c r="T109" s="50"/>
      <c r="U109" s="171"/>
      <c r="V109" s="171"/>
      <c r="W109" s="171"/>
      <c r="X109" s="171"/>
      <c r="Y109" s="171"/>
      <c r="Z109" s="171"/>
      <c r="AA109" s="171"/>
      <c r="AB109" s="171"/>
      <c r="AC109" s="171"/>
      <c r="AD109" s="171"/>
      <c r="AE109" s="171"/>
      <c r="AF109" s="171"/>
      <c r="AG109" s="171"/>
      <c r="AH109" s="171"/>
    </row>
    <row r="110" spans="3:34" s="230" customFormat="1" ht="15" customHeight="1">
      <c r="C110" s="1202"/>
      <c r="D110" s="173" t="str">
        <f>IF(Indice_index!$Z$1=1,"novembro","November")</f>
        <v>November</v>
      </c>
      <c r="E110" s="1209">
        <v>408592</v>
      </c>
      <c r="F110" s="1209">
        <v>71287</v>
      </c>
      <c r="G110" s="1209">
        <v>164693</v>
      </c>
      <c r="H110" s="1209">
        <v>644572</v>
      </c>
      <c r="I110" s="1210">
        <v>2221.3000000000002</v>
      </c>
      <c r="J110" s="1210"/>
      <c r="K110" s="1209">
        <v>432386</v>
      </c>
      <c r="M110" s="228"/>
      <c r="N110" s="228"/>
      <c r="O110" s="228"/>
      <c r="P110" s="228"/>
      <c r="Q110" s="228"/>
      <c r="R110" s="228"/>
      <c r="S110" s="228"/>
      <c r="T110" s="50"/>
      <c r="U110" s="171"/>
      <c r="V110" s="171"/>
      <c r="W110" s="171"/>
      <c r="X110" s="171"/>
      <c r="Y110" s="171"/>
      <c r="Z110" s="171"/>
      <c r="AA110" s="171"/>
      <c r="AB110" s="171"/>
      <c r="AC110" s="171"/>
      <c r="AD110" s="171"/>
      <c r="AE110" s="171"/>
      <c r="AF110" s="171"/>
      <c r="AG110" s="171"/>
      <c r="AH110" s="171"/>
    </row>
    <row r="111" spans="3:34" s="172" customFormat="1" ht="15" customHeight="1">
      <c r="C111" s="1204"/>
      <c r="D111" s="173" t="str">
        <f>IF(Indice_index!$Z$1=1,"dezembro","December")</f>
        <v>December</v>
      </c>
      <c r="E111" s="173">
        <v>409789</v>
      </c>
      <c r="F111" s="173">
        <v>71225</v>
      </c>
      <c r="G111" s="173">
        <v>164514</v>
      </c>
      <c r="H111" s="173">
        <v>645528</v>
      </c>
      <c r="I111" s="172">
        <v>1129.8</v>
      </c>
      <c r="J111" s="173"/>
      <c r="K111" s="173">
        <v>431132</v>
      </c>
      <c r="M111" s="228"/>
      <c r="N111" s="228"/>
      <c r="O111" s="228"/>
      <c r="P111" s="228"/>
      <c r="Q111" s="228"/>
      <c r="R111" s="228"/>
      <c r="S111" s="228"/>
      <c r="T111" s="162"/>
      <c r="U111" s="173"/>
      <c r="V111" s="173"/>
      <c r="W111" s="173"/>
      <c r="X111" s="173"/>
      <c r="Y111" s="173"/>
      <c r="Z111" s="173"/>
      <c r="AA111" s="173"/>
      <c r="AB111" s="173"/>
      <c r="AC111" s="173"/>
      <c r="AD111" s="173"/>
      <c r="AE111" s="173"/>
      <c r="AF111" s="173"/>
      <c r="AG111" s="173"/>
      <c r="AH111" s="173"/>
    </row>
    <row r="112" spans="3:34" s="230" customFormat="1" ht="15" customHeight="1">
      <c r="C112" s="1203">
        <v>2020</v>
      </c>
      <c r="D112" s="173"/>
      <c r="E112" s="173"/>
      <c r="F112" s="173"/>
      <c r="G112" s="173"/>
      <c r="H112" s="173"/>
      <c r="I112" s="172"/>
      <c r="J112" s="172"/>
      <c r="K112" s="173"/>
      <c r="M112" s="233"/>
      <c r="N112" s="233"/>
      <c r="O112" s="233"/>
      <c r="P112" s="233"/>
      <c r="Q112" s="233"/>
      <c r="R112" s="233"/>
      <c r="S112" s="233"/>
      <c r="T112" s="50"/>
      <c r="U112" s="171"/>
      <c r="V112" s="171"/>
      <c r="W112" s="171"/>
      <c r="X112" s="171"/>
      <c r="Y112" s="171"/>
      <c r="Z112" s="171"/>
      <c r="AA112" s="171"/>
      <c r="AB112" s="171"/>
      <c r="AC112" s="171"/>
      <c r="AD112" s="171"/>
      <c r="AE112" s="171"/>
      <c r="AF112" s="171"/>
      <c r="AG112" s="171"/>
      <c r="AH112" s="171"/>
    </row>
    <row r="113" spans="3:34" s="230" customFormat="1" ht="15" customHeight="1">
      <c r="C113" s="1202"/>
      <c r="D113" s="173" t="str">
        <f>IF(Indice_index!$Z$1=1,"janeiro","January")</f>
        <v>January</v>
      </c>
      <c r="E113" s="1205">
        <v>410101</v>
      </c>
      <c r="F113" s="1205">
        <v>71061</v>
      </c>
      <c r="G113" s="1205">
        <v>165420</v>
      </c>
      <c r="H113" s="1205">
        <v>646582</v>
      </c>
      <c r="I113" s="1206">
        <v>1146.5</v>
      </c>
      <c r="J113" s="1206"/>
      <c r="K113" s="1205">
        <v>429965</v>
      </c>
      <c r="M113" s="233"/>
      <c r="N113" s="233"/>
      <c r="O113" s="233"/>
      <c r="P113" s="233"/>
      <c r="Q113" s="233"/>
      <c r="R113" s="233"/>
      <c r="S113" s="233"/>
      <c r="T113" s="50"/>
      <c r="U113" s="171"/>
      <c r="V113" s="171"/>
      <c r="W113" s="171"/>
      <c r="X113" s="171"/>
      <c r="Y113" s="171"/>
      <c r="Z113" s="171"/>
      <c r="AA113" s="171"/>
      <c r="AB113" s="171"/>
      <c r="AC113" s="171"/>
      <c r="AD113" s="171"/>
      <c r="AE113" s="171"/>
      <c r="AF113" s="171"/>
      <c r="AG113" s="171"/>
      <c r="AH113" s="171"/>
    </row>
    <row r="114" spans="3:34" s="230" customFormat="1" ht="15" customHeight="1">
      <c r="C114" s="1202"/>
      <c r="D114" s="173" t="str">
        <f>IF(Indice_index!$Z$1=1,"fevereiro","February")</f>
        <v>February</v>
      </c>
      <c r="E114" s="1205">
        <v>410094</v>
      </c>
      <c r="F114" s="1205">
        <v>70877</v>
      </c>
      <c r="G114" s="1205">
        <v>165251</v>
      </c>
      <c r="H114" s="1205">
        <v>646222</v>
      </c>
      <c r="I114" s="1206">
        <v>1125.4000000000001</v>
      </c>
      <c r="J114" s="1206"/>
      <c r="K114" s="1205">
        <v>428711</v>
      </c>
      <c r="M114" s="233"/>
      <c r="N114" s="233"/>
      <c r="O114" s="233"/>
      <c r="P114" s="233"/>
      <c r="Q114" s="233"/>
      <c r="R114" s="233"/>
      <c r="S114" s="233"/>
      <c r="T114" s="50"/>
      <c r="U114" s="171"/>
      <c r="V114" s="171"/>
      <c r="W114" s="171"/>
      <c r="X114" s="171"/>
      <c r="Y114" s="171"/>
      <c r="Z114" s="171"/>
      <c r="AA114" s="171"/>
      <c r="AB114" s="171"/>
      <c r="AC114" s="171"/>
      <c r="AD114" s="171"/>
      <c r="AE114" s="171"/>
      <c r="AF114" s="171"/>
      <c r="AG114" s="171"/>
      <c r="AH114" s="171"/>
    </row>
    <row r="115" spans="3:34" s="230" customFormat="1" ht="15" customHeight="1">
      <c r="C115" s="1202"/>
      <c r="D115" s="173" t="str">
        <f>IF(Indice_index!$Z$1=1,"março","March")</f>
        <v>March</v>
      </c>
      <c r="E115" s="1205">
        <v>410087</v>
      </c>
      <c r="F115" s="1205">
        <v>70899</v>
      </c>
      <c r="G115" s="1205">
        <v>165182</v>
      </c>
      <c r="H115" s="1205">
        <v>646168</v>
      </c>
      <c r="I115" s="1206">
        <v>1121.3</v>
      </c>
      <c r="J115" s="1206"/>
      <c r="K115" s="1205">
        <v>427630</v>
      </c>
      <c r="M115" s="233"/>
      <c r="N115" s="233"/>
      <c r="O115" s="233"/>
      <c r="P115" s="233"/>
      <c r="Q115" s="233"/>
      <c r="R115" s="233"/>
      <c r="S115" s="233"/>
      <c r="T115" s="50"/>
      <c r="U115" s="171"/>
      <c r="V115" s="171"/>
      <c r="W115" s="171"/>
      <c r="X115" s="171"/>
      <c r="Y115" s="171"/>
      <c r="Z115" s="171"/>
      <c r="AA115" s="171"/>
      <c r="AB115" s="171"/>
      <c r="AC115" s="171"/>
      <c r="AD115" s="171"/>
      <c r="AE115" s="171"/>
      <c r="AF115" s="171"/>
      <c r="AG115" s="171"/>
      <c r="AH115" s="171"/>
    </row>
    <row r="116" spans="3:34" s="230" customFormat="1" ht="15" customHeight="1">
      <c r="C116" s="1202"/>
      <c r="D116" s="173" t="str">
        <f>IF(Indice_index!$Z$1=1,"abril","April")</f>
        <v>April</v>
      </c>
      <c r="E116" s="1205">
        <v>410375</v>
      </c>
      <c r="F116" s="1205">
        <v>70760</v>
      </c>
      <c r="G116" s="1205">
        <v>165317</v>
      </c>
      <c r="H116" s="1205">
        <v>646452</v>
      </c>
      <c r="I116" s="1206">
        <v>1121.3</v>
      </c>
      <c r="J116" s="1206"/>
      <c r="K116" s="1205">
        <v>426527</v>
      </c>
      <c r="M116" s="233"/>
      <c r="N116" s="233"/>
      <c r="O116" s="233"/>
      <c r="P116" s="233"/>
      <c r="Q116" s="233"/>
      <c r="R116" s="233"/>
      <c r="S116" s="233"/>
      <c r="T116" s="50"/>
      <c r="U116" s="171"/>
      <c r="V116" s="171"/>
      <c r="W116" s="171"/>
      <c r="X116" s="171"/>
      <c r="Y116" s="171"/>
      <c r="Z116" s="171"/>
      <c r="AA116" s="171"/>
      <c r="AB116" s="171"/>
      <c r="AC116" s="171"/>
      <c r="AD116" s="171"/>
      <c r="AE116" s="171"/>
      <c r="AF116" s="171"/>
      <c r="AG116" s="171"/>
      <c r="AH116" s="171"/>
    </row>
    <row r="117" spans="3:34" s="230" customFormat="1" ht="15" customHeight="1">
      <c r="C117" s="1202"/>
      <c r="D117" s="173" t="str">
        <f>IF(Indice_index!$Z$1=1,"maio","May")</f>
        <v>May</v>
      </c>
      <c r="E117" s="1211">
        <v>410802</v>
      </c>
      <c r="F117" s="1211">
        <v>70571</v>
      </c>
      <c r="G117" s="1211">
        <v>165247</v>
      </c>
      <c r="H117" s="1211">
        <v>646620</v>
      </c>
      <c r="I117" s="1212">
        <v>1119.5999999999999</v>
      </c>
      <c r="J117" s="1212"/>
      <c r="K117" s="1211">
        <v>425361</v>
      </c>
      <c r="M117" s="233"/>
      <c r="N117" s="233"/>
      <c r="O117" s="233"/>
      <c r="P117" s="233"/>
      <c r="Q117" s="233"/>
      <c r="R117" s="233"/>
      <c r="S117" s="233"/>
      <c r="T117" s="50"/>
      <c r="U117" s="171"/>
      <c r="V117" s="171"/>
      <c r="W117" s="171"/>
      <c r="X117" s="171"/>
      <c r="Y117" s="171"/>
      <c r="Z117" s="171"/>
      <c r="AA117" s="171"/>
      <c r="AB117" s="171"/>
      <c r="AC117" s="171"/>
      <c r="AD117" s="171"/>
      <c r="AE117" s="171"/>
      <c r="AF117" s="171"/>
      <c r="AG117" s="171"/>
      <c r="AH117" s="171"/>
    </row>
    <row r="118" spans="3:34" s="230" customFormat="1" ht="15" customHeight="1">
      <c r="C118" s="1202"/>
      <c r="D118" s="173" t="str">
        <f>IF(Indice_index!$Z$1=1,"junho","June")</f>
        <v>June</v>
      </c>
      <c r="E118" s="1205">
        <v>411240</v>
      </c>
      <c r="F118" s="1205">
        <v>70372</v>
      </c>
      <c r="G118" s="1205">
        <v>165253</v>
      </c>
      <c r="H118" s="1205">
        <v>646865</v>
      </c>
      <c r="I118" s="1206">
        <v>1119.5999999999999</v>
      </c>
      <c r="J118" s="1206"/>
      <c r="K118" s="1205">
        <v>424164</v>
      </c>
      <c r="M118" s="233"/>
      <c r="N118" s="233"/>
      <c r="O118" s="233"/>
      <c r="P118" s="233"/>
      <c r="Q118" s="233"/>
      <c r="R118" s="233"/>
      <c r="S118" s="233"/>
      <c r="T118" s="50"/>
      <c r="U118" s="171"/>
      <c r="V118" s="171"/>
      <c r="W118" s="171"/>
      <c r="X118" s="171"/>
      <c r="Y118" s="171"/>
      <c r="Z118" s="171"/>
      <c r="AA118" s="171"/>
      <c r="AB118" s="171"/>
      <c r="AC118" s="171"/>
      <c r="AD118" s="171"/>
      <c r="AE118" s="171"/>
      <c r="AF118" s="171"/>
      <c r="AG118" s="171"/>
      <c r="AH118" s="171"/>
    </row>
    <row r="119" spans="3:34" s="230" customFormat="1" ht="15" customHeight="1">
      <c r="C119" s="1202"/>
      <c r="D119" s="173" t="str">
        <f>IF(Indice_index!$Z$1=1,"julho","July")</f>
        <v>July</v>
      </c>
      <c r="E119" s="1205">
        <v>411780</v>
      </c>
      <c r="F119" s="1205">
        <v>70237</v>
      </c>
      <c r="G119" s="1205">
        <v>165534</v>
      </c>
      <c r="H119" s="1205">
        <v>647551</v>
      </c>
      <c r="I119" s="1206">
        <v>2184.8000000000002</v>
      </c>
      <c r="J119" s="1206"/>
      <c r="K119" s="1205">
        <v>422899</v>
      </c>
      <c r="M119" s="233"/>
      <c r="N119" s="233"/>
      <c r="O119" s="233"/>
      <c r="P119" s="233"/>
      <c r="Q119" s="233"/>
      <c r="R119" s="233"/>
      <c r="S119" s="233"/>
      <c r="T119" s="50"/>
      <c r="U119" s="171"/>
      <c r="V119" s="171"/>
      <c r="W119" s="171"/>
      <c r="X119" s="171"/>
      <c r="Y119" s="171"/>
      <c r="Z119" s="171"/>
      <c r="AA119" s="171"/>
      <c r="AB119" s="171"/>
      <c r="AC119" s="171"/>
      <c r="AD119" s="171"/>
      <c r="AE119" s="171"/>
      <c r="AF119" s="171"/>
      <c r="AG119" s="171"/>
      <c r="AH119" s="171"/>
    </row>
    <row r="120" spans="3:34" s="230" customFormat="1" ht="15" customHeight="1">
      <c r="C120" s="1202"/>
      <c r="D120" s="173" t="str">
        <f>IF(Indice_index!$Z$1=1,"agosto","August")</f>
        <v>August</v>
      </c>
      <c r="E120" s="1205">
        <v>412314</v>
      </c>
      <c r="F120" s="1205">
        <v>70041</v>
      </c>
      <c r="G120" s="1205">
        <v>165867</v>
      </c>
      <c r="H120" s="1205">
        <v>648222</v>
      </c>
      <c r="I120" s="1206">
        <v>1124.2</v>
      </c>
      <c r="J120" s="1206"/>
      <c r="K120" s="1205">
        <v>421587</v>
      </c>
      <c r="M120" s="228"/>
      <c r="N120" s="228"/>
      <c r="O120" s="228"/>
      <c r="P120" s="228"/>
      <c r="Q120" s="228"/>
      <c r="R120" s="228"/>
      <c r="S120" s="228"/>
      <c r="T120" s="50"/>
      <c r="U120" s="171"/>
      <c r="V120" s="171"/>
      <c r="W120" s="171"/>
      <c r="X120" s="171"/>
      <c r="Y120" s="171"/>
      <c r="Z120" s="171"/>
      <c r="AA120" s="171"/>
      <c r="AB120" s="171"/>
      <c r="AC120" s="171"/>
      <c r="AD120" s="171"/>
      <c r="AE120" s="171"/>
      <c r="AF120" s="171"/>
      <c r="AG120" s="171"/>
      <c r="AH120" s="171"/>
    </row>
    <row r="121" spans="3:34" s="230" customFormat="1" ht="15" customHeight="1">
      <c r="C121" s="1202"/>
      <c r="D121" s="173" t="str">
        <f>IF(Indice_index!$Z$1=1,"setembro","September")</f>
        <v>September</v>
      </c>
      <c r="E121" s="1205">
        <v>412631</v>
      </c>
      <c r="F121" s="1205">
        <v>69806</v>
      </c>
      <c r="G121" s="1205">
        <v>165824</v>
      </c>
      <c r="H121" s="1205">
        <v>648261</v>
      </c>
      <c r="I121" s="1206">
        <v>1124.9000000000001</v>
      </c>
      <c r="J121" s="1206"/>
      <c r="K121" s="1205">
        <v>419894</v>
      </c>
      <c r="M121" s="228"/>
      <c r="N121" s="228"/>
      <c r="O121" s="228"/>
      <c r="P121" s="228"/>
      <c r="Q121" s="228"/>
      <c r="R121" s="228"/>
      <c r="S121" s="228"/>
      <c r="T121" s="50"/>
      <c r="U121" s="171"/>
      <c r="V121" s="171"/>
      <c r="W121" s="171"/>
      <c r="X121" s="171"/>
      <c r="Y121" s="171"/>
      <c r="Z121" s="171"/>
      <c r="AA121" s="171"/>
      <c r="AB121" s="171"/>
      <c r="AC121" s="171"/>
      <c r="AD121" s="171"/>
      <c r="AE121" s="171"/>
      <c r="AF121" s="171"/>
      <c r="AG121" s="171"/>
      <c r="AH121" s="171"/>
    </row>
    <row r="122" spans="3:34" s="230" customFormat="1" ht="15" customHeight="1">
      <c r="C122" s="1202"/>
      <c r="D122" s="173" t="str">
        <f>IF(Indice_index!$Z$1=1,"outubro","October")</f>
        <v>October</v>
      </c>
      <c r="E122" s="1213">
        <v>412895</v>
      </c>
      <c r="F122" s="1213">
        <v>69624</v>
      </c>
      <c r="G122" s="1213">
        <v>165869</v>
      </c>
      <c r="H122" s="1213">
        <v>648388</v>
      </c>
      <c r="I122" s="1214">
        <v>1119.8</v>
      </c>
      <c r="J122" s="1208"/>
      <c r="K122" s="1215">
        <v>418736</v>
      </c>
      <c r="M122" s="228"/>
      <c r="N122" s="228"/>
      <c r="O122" s="228"/>
      <c r="P122" s="228"/>
      <c r="Q122" s="228"/>
      <c r="R122" s="228"/>
      <c r="S122" s="228"/>
      <c r="T122" s="50"/>
      <c r="U122" s="171"/>
      <c r="V122" s="171"/>
      <c r="W122" s="171"/>
      <c r="X122" s="171"/>
      <c r="Y122" s="171"/>
      <c r="Z122" s="171"/>
      <c r="AA122" s="171"/>
      <c r="AB122" s="171"/>
      <c r="AC122" s="171"/>
      <c r="AD122" s="171"/>
      <c r="AE122" s="171"/>
      <c r="AF122" s="171"/>
      <c r="AG122" s="171"/>
      <c r="AH122" s="171"/>
    </row>
    <row r="123" spans="3:34" s="230" customFormat="1" ht="15" customHeight="1">
      <c r="C123" s="1202"/>
      <c r="D123" s="173" t="str">
        <f>IF(Indice_index!$Z$1=1,"novembro","November")</f>
        <v>November</v>
      </c>
      <c r="E123" s="1216">
        <v>413065</v>
      </c>
      <c r="F123" s="1216">
        <v>69489</v>
      </c>
      <c r="G123" s="1216">
        <v>166049</v>
      </c>
      <c r="H123" s="1216">
        <v>648603</v>
      </c>
      <c r="I123" s="1217">
        <v>2220.1999999999998</v>
      </c>
      <c r="J123" s="1217"/>
      <c r="K123" s="1216">
        <v>418012</v>
      </c>
      <c r="M123" s="228"/>
      <c r="N123" s="228"/>
      <c r="O123" s="228"/>
      <c r="P123" s="228"/>
      <c r="Q123" s="228"/>
      <c r="R123" s="228"/>
      <c r="S123" s="228"/>
      <c r="T123" s="50"/>
      <c r="U123" s="171"/>
      <c r="V123" s="171"/>
      <c r="W123" s="171"/>
      <c r="X123" s="171"/>
      <c r="Y123" s="171"/>
      <c r="Z123" s="171"/>
      <c r="AA123" s="171"/>
      <c r="AB123" s="171"/>
      <c r="AC123" s="171"/>
      <c r="AD123" s="171"/>
      <c r="AE123" s="171"/>
      <c r="AF123" s="171"/>
      <c r="AG123" s="171"/>
      <c r="AH123" s="171"/>
    </row>
    <row r="124" spans="3:34" s="172" customFormat="1" ht="15" customHeight="1">
      <c r="C124" s="1204"/>
      <c r="D124" s="173" t="str">
        <f>IF(Indice_index!$Z$1=1,"dezembro","December")</f>
        <v>December</v>
      </c>
      <c r="E124" s="1218">
        <v>413108</v>
      </c>
      <c r="F124" s="1218">
        <v>69321</v>
      </c>
      <c r="G124" s="1218">
        <v>166218</v>
      </c>
      <c r="H124" s="1218">
        <v>648647</v>
      </c>
      <c r="I124" s="1219">
        <v>1140.3</v>
      </c>
      <c r="J124" s="1219"/>
      <c r="K124" s="1218">
        <v>416874</v>
      </c>
      <c r="M124" s="228"/>
      <c r="N124" s="228"/>
      <c r="O124" s="228"/>
      <c r="P124" s="228"/>
      <c r="Q124" s="228"/>
      <c r="R124" s="228"/>
      <c r="S124" s="228"/>
      <c r="T124" s="162"/>
      <c r="U124" s="173"/>
      <c r="V124" s="173"/>
      <c r="W124" s="173"/>
      <c r="X124" s="173"/>
      <c r="Y124" s="173"/>
      <c r="Z124" s="173"/>
      <c r="AA124" s="173"/>
      <c r="AB124" s="173"/>
      <c r="AC124" s="173"/>
      <c r="AD124" s="173"/>
      <c r="AE124" s="173"/>
      <c r="AF124" s="173"/>
      <c r="AG124" s="173"/>
      <c r="AH124" s="173"/>
    </row>
    <row r="125" spans="3:34" s="230" customFormat="1" ht="15" customHeight="1">
      <c r="C125" s="1203" t="s">
        <v>68</v>
      </c>
      <c r="D125" s="173"/>
      <c r="E125" s="173"/>
      <c r="F125" s="173"/>
      <c r="G125" s="173"/>
      <c r="H125" s="173"/>
      <c r="I125" s="172"/>
      <c r="J125" s="172"/>
      <c r="K125" s="173"/>
      <c r="M125" s="233"/>
      <c r="N125" s="233"/>
      <c r="O125" s="233"/>
      <c r="P125" s="233"/>
      <c r="Q125" s="233"/>
      <c r="R125" s="233"/>
      <c r="S125" s="233"/>
      <c r="T125" s="50"/>
      <c r="U125" s="171"/>
      <c r="V125" s="171"/>
      <c r="W125" s="171"/>
      <c r="X125" s="171"/>
      <c r="Y125" s="171"/>
      <c r="Z125" s="171"/>
      <c r="AA125" s="171"/>
      <c r="AB125" s="171"/>
      <c r="AC125" s="171"/>
      <c r="AD125" s="171"/>
      <c r="AE125" s="171"/>
      <c r="AF125" s="171"/>
      <c r="AG125" s="171"/>
      <c r="AH125" s="171"/>
    </row>
    <row r="126" spans="3:34" s="230" customFormat="1" ht="15" customHeight="1">
      <c r="C126" s="1202"/>
      <c r="D126" s="173" t="str">
        <f>IF(Indice_index!$Z$1=1,"janeiro","January")</f>
        <v>January</v>
      </c>
      <c r="E126" s="1205">
        <v>413072</v>
      </c>
      <c r="F126" s="1205">
        <v>69149</v>
      </c>
      <c r="G126" s="1205">
        <v>166134</v>
      </c>
      <c r="H126" s="1205">
        <v>648355</v>
      </c>
      <c r="I126" s="1206">
        <v>1156.8</v>
      </c>
      <c r="J126" s="1206"/>
      <c r="K126" s="1205">
        <v>415779</v>
      </c>
      <c r="M126" s="233"/>
      <c r="N126" s="233"/>
      <c r="O126" s="233"/>
      <c r="P126" s="233"/>
      <c r="Q126" s="233"/>
      <c r="R126" s="233"/>
      <c r="S126" s="233"/>
      <c r="T126" s="50"/>
      <c r="U126" s="171"/>
      <c r="V126" s="171"/>
      <c r="W126" s="171"/>
      <c r="X126" s="171"/>
      <c r="Y126" s="171"/>
      <c r="Z126" s="171"/>
      <c r="AA126" s="171"/>
      <c r="AB126" s="171"/>
      <c r="AC126" s="171"/>
      <c r="AD126" s="171"/>
      <c r="AE126" s="171"/>
      <c r="AF126" s="171"/>
      <c r="AG126" s="171"/>
      <c r="AH126" s="171"/>
    </row>
    <row r="127" spans="3:34" s="230" customFormat="1" ht="15" customHeight="1">
      <c r="C127" s="1202"/>
      <c r="D127" s="173" t="str">
        <f>IF(Indice_index!$Z$1=1,"fevereiro","February")</f>
        <v>February</v>
      </c>
      <c r="E127" s="1205">
        <v>412612</v>
      </c>
      <c r="F127" s="1205">
        <v>68915</v>
      </c>
      <c r="G127" s="1205">
        <v>165958</v>
      </c>
      <c r="H127" s="1205">
        <v>647485</v>
      </c>
      <c r="I127" s="1206">
        <v>1128.3</v>
      </c>
      <c r="J127" s="1206"/>
      <c r="K127" s="1205">
        <v>414791</v>
      </c>
      <c r="M127" s="233"/>
      <c r="N127" s="233"/>
      <c r="O127" s="233"/>
      <c r="P127" s="233"/>
      <c r="Q127" s="233"/>
      <c r="R127" s="233"/>
      <c r="S127" s="233"/>
      <c r="T127" s="50"/>
      <c r="U127" s="171"/>
      <c r="V127" s="171"/>
      <c r="W127" s="171"/>
      <c r="X127" s="171"/>
      <c r="Y127" s="171"/>
      <c r="Z127" s="171"/>
      <c r="AA127" s="171"/>
      <c r="AB127" s="171"/>
      <c r="AC127" s="171"/>
      <c r="AD127" s="171"/>
      <c r="AE127" s="171"/>
      <c r="AF127" s="171"/>
      <c r="AG127" s="171"/>
      <c r="AH127" s="171"/>
    </row>
    <row r="128" spans="3:34" s="230" customFormat="1" ht="15" customHeight="1">
      <c r="C128" s="1202"/>
      <c r="D128" s="173" t="str">
        <f>IF(Indice_index!$Z$1=1,"março","March")</f>
        <v>March</v>
      </c>
      <c r="E128" s="1220">
        <v>411718</v>
      </c>
      <c r="F128" s="1220">
        <v>68662</v>
      </c>
      <c r="G128" s="1220">
        <v>165536</v>
      </c>
      <c r="H128" s="1220">
        <v>645916</v>
      </c>
      <c r="I128" s="1221">
        <v>1128.8</v>
      </c>
      <c r="J128" s="1221"/>
      <c r="K128" s="1220">
        <v>413590</v>
      </c>
      <c r="M128" s="233"/>
      <c r="N128" s="233"/>
      <c r="O128" s="233"/>
      <c r="P128" s="233"/>
      <c r="Q128" s="233"/>
      <c r="R128" s="233"/>
      <c r="S128" s="233"/>
      <c r="T128" s="50"/>
      <c r="U128" s="171"/>
      <c r="V128" s="171"/>
      <c r="W128" s="171"/>
      <c r="X128" s="171"/>
      <c r="Y128" s="171"/>
      <c r="Z128" s="171"/>
      <c r="AA128" s="171"/>
      <c r="AB128" s="171"/>
      <c r="AC128" s="171"/>
      <c r="AD128" s="171"/>
      <c r="AE128" s="171"/>
      <c r="AF128" s="171"/>
      <c r="AG128" s="171"/>
      <c r="AH128" s="171"/>
    </row>
    <row r="129" spans="3:34" s="230" customFormat="1" ht="15" customHeight="1">
      <c r="C129" s="1202"/>
      <c r="D129" s="173" t="str">
        <f>IF(Indice_index!$Z$1=1,"abril","April")</f>
        <v>April</v>
      </c>
      <c r="E129" s="1205">
        <v>411435</v>
      </c>
      <c r="F129" s="1205">
        <v>68332</v>
      </c>
      <c r="G129" s="1205">
        <v>165633</v>
      </c>
      <c r="H129" s="1205">
        <v>645400</v>
      </c>
      <c r="I129" s="1206">
        <v>1133.4000000000001</v>
      </c>
      <c r="J129" s="1206"/>
      <c r="K129" s="1205">
        <v>412461</v>
      </c>
      <c r="M129" s="233"/>
      <c r="N129" s="233"/>
      <c r="O129" s="233"/>
      <c r="P129" s="233"/>
      <c r="Q129" s="233"/>
      <c r="R129" s="233"/>
      <c r="S129" s="233"/>
      <c r="T129" s="50"/>
      <c r="U129" s="171"/>
      <c r="V129" s="171"/>
      <c r="W129" s="171"/>
      <c r="X129" s="171"/>
      <c r="Y129" s="171"/>
      <c r="Z129" s="171"/>
      <c r="AA129" s="171"/>
      <c r="AB129" s="171"/>
      <c r="AC129" s="171"/>
      <c r="AD129" s="171"/>
      <c r="AE129" s="171"/>
      <c r="AF129" s="171"/>
      <c r="AG129" s="171"/>
      <c r="AH129" s="171"/>
    </row>
    <row r="130" spans="3:34" s="230" customFormat="1" ht="15" customHeight="1">
      <c r="C130" s="1202"/>
      <c r="D130" s="173" t="str">
        <f>IF(Indice_index!$Z$1=1,"maio","May")</f>
        <v>May</v>
      </c>
      <c r="E130" s="1222">
        <v>411709</v>
      </c>
      <c r="F130" s="1222">
        <v>68218</v>
      </c>
      <c r="G130" s="1222">
        <v>165542</v>
      </c>
      <c r="H130" s="1222">
        <v>645469</v>
      </c>
      <c r="I130" s="1223">
        <v>1132.5</v>
      </c>
      <c r="J130" s="1223"/>
      <c r="K130" s="1222">
        <v>411324</v>
      </c>
      <c r="M130" s="233"/>
      <c r="N130" s="233"/>
      <c r="O130" s="233"/>
      <c r="P130" s="233"/>
      <c r="Q130" s="233"/>
      <c r="R130" s="233"/>
      <c r="S130" s="233"/>
      <c r="T130" s="50"/>
      <c r="U130" s="171"/>
      <c r="V130" s="171"/>
      <c r="W130" s="171"/>
      <c r="X130" s="171"/>
      <c r="Y130" s="171"/>
      <c r="Z130" s="171"/>
      <c r="AA130" s="171"/>
      <c r="AB130" s="171"/>
      <c r="AC130" s="171"/>
      <c r="AD130" s="171"/>
      <c r="AE130" s="171"/>
      <c r="AF130" s="171"/>
      <c r="AG130" s="171"/>
      <c r="AH130" s="171"/>
    </row>
    <row r="131" spans="3:34" s="230" customFormat="1" ht="15" customHeight="1">
      <c r="C131" s="1202"/>
      <c r="D131" s="173" t="str">
        <f>IF(Indice_index!$Z$1=1,"junho","June")</f>
        <v>June</v>
      </c>
      <c r="E131" s="1224">
        <v>412113</v>
      </c>
      <c r="F131" s="1224">
        <v>68103</v>
      </c>
      <c r="G131" s="1224">
        <v>164864</v>
      </c>
      <c r="H131" s="1224">
        <v>645080</v>
      </c>
      <c r="I131" s="1225">
        <v>1132.2</v>
      </c>
      <c r="J131" s="1225"/>
      <c r="K131" s="1224">
        <v>410051</v>
      </c>
      <c r="M131" s="233"/>
      <c r="N131" s="233"/>
      <c r="O131" s="233"/>
      <c r="P131" s="233"/>
      <c r="Q131" s="233"/>
      <c r="R131" s="233"/>
      <c r="S131" s="233"/>
      <c r="T131" s="50"/>
      <c r="U131" s="171"/>
      <c r="V131" s="171"/>
      <c r="W131" s="171"/>
      <c r="X131" s="171"/>
      <c r="Y131" s="171"/>
      <c r="Z131" s="171"/>
      <c r="AA131" s="171"/>
      <c r="AB131" s="171"/>
      <c r="AC131" s="171"/>
      <c r="AD131" s="171"/>
      <c r="AE131" s="171"/>
      <c r="AF131" s="171"/>
      <c r="AG131" s="171"/>
      <c r="AH131" s="171"/>
    </row>
    <row r="132" spans="3:34" s="230" customFormat="1" ht="15" customHeight="1">
      <c r="C132" s="1202"/>
      <c r="D132" s="173" t="str">
        <f>IF(Indice_index!$Z$1=1,"julho","July")</f>
        <v>July</v>
      </c>
      <c r="E132" s="1226">
        <v>412768</v>
      </c>
      <c r="F132" s="1226">
        <v>67998</v>
      </c>
      <c r="G132" s="1226">
        <v>165065</v>
      </c>
      <c r="H132" s="1226">
        <v>645831</v>
      </c>
      <c r="I132" s="1227">
        <v>2207.4</v>
      </c>
      <c r="J132" s="1227"/>
      <c r="K132" s="1226">
        <v>408523</v>
      </c>
      <c r="M132" s="233"/>
      <c r="N132" s="233"/>
      <c r="O132" s="233"/>
      <c r="P132" s="233"/>
      <c r="Q132" s="233"/>
      <c r="R132" s="233"/>
      <c r="S132" s="233"/>
      <c r="T132" s="50"/>
      <c r="U132" s="171"/>
      <c r="V132" s="171"/>
      <c r="W132" s="171"/>
      <c r="X132" s="171"/>
      <c r="Y132" s="171"/>
      <c r="Z132" s="171"/>
      <c r="AA132" s="171"/>
      <c r="AB132" s="171"/>
      <c r="AC132" s="171"/>
      <c r="AD132" s="171"/>
      <c r="AE132" s="171"/>
      <c r="AF132" s="171"/>
      <c r="AG132" s="171"/>
      <c r="AH132" s="171"/>
    </row>
    <row r="133" spans="3:34" s="230" customFormat="1" ht="15" customHeight="1">
      <c r="C133" s="1202"/>
      <c r="D133" s="173" t="str">
        <f>IF(Indice_index!$Z$1=1,"agosto","August")</f>
        <v>August</v>
      </c>
      <c r="E133" s="1228">
        <v>413403</v>
      </c>
      <c r="F133" s="1228">
        <v>67917</v>
      </c>
      <c r="G133" s="1228">
        <v>165331</v>
      </c>
      <c r="H133" s="1228">
        <v>646651</v>
      </c>
      <c r="I133" s="1229">
        <v>1135.3</v>
      </c>
      <c r="J133" s="1229"/>
      <c r="K133" s="1228">
        <v>407205</v>
      </c>
      <c r="M133" s="228"/>
      <c r="N133" s="228"/>
      <c r="O133" s="228"/>
      <c r="P133" s="228"/>
      <c r="Q133" s="228"/>
      <c r="R133" s="228"/>
      <c r="S133" s="228"/>
      <c r="T133" s="50"/>
      <c r="U133" s="171"/>
      <c r="V133" s="171"/>
      <c r="W133" s="171"/>
      <c r="X133" s="171"/>
      <c r="Y133" s="171"/>
      <c r="Z133" s="171"/>
      <c r="AA133" s="171"/>
      <c r="AB133" s="171"/>
      <c r="AC133" s="171"/>
      <c r="AD133" s="171"/>
      <c r="AE133" s="171"/>
      <c r="AF133" s="171"/>
      <c r="AG133" s="171"/>
      <c r="AH133" s="171"/>
    </row>
    <row r="134" spans="3:34" s="230" customFormat="1" ht="15" customHeight="1">
      <c r="C134" s="1202"/>
      <c r="D134" s="173" t="str">
        <f>IF(Indice_index!$Z$1=1,"setembro","September")</f>
        <v>September</v>
      </c>
      <c r="E134" s="1230">
        <v>413684</v>
      </c>
      <c r="F134" s="1230">
        <v>67794</v>
      </c>
      <c r="G134" s="1230">
        <v>165391</v>
      </c>
      <c r="H134" s="1230">
        <v>646869</v>
      </c>
      <c r="I134" s="1231">
        <v>1132.3</v>
      </c>
      <c r="J134" s="1231"/>
      <c r="K134" s="1230">
        <v>405793</v>
      </c>
      <c r="M134" s="228"/>
      <c r="N134" s="228"/>
      <c r="O134" s="228"/>
      <c r="P134" s="228"/>
      <c r="Q134" s="228"/>
      <c r="R134" s="228"/>
      <c r="S134" s="228"/>
      <c r="T134" s="50"/>
      <c r="U134" s="171"/>
      <c r="V134" s="171"/>
      <c r="W134" s="171"/>
      <c r="X134" s="171"/>
      <c r="Y134" s="171"/>
      <c r="Z134" s="171"/>
      <c r="AA134" s="171"/>
      <c r="AB134" s="171"/>
      <c r="AC134" s="171"/>
      <c r="AD134" s="171"/>
      <c r="AE134" s="171"/>
      <c r="AF134" s="171"/>
      <c r="AG134" s="171"/>
      <c r="AH134" s="171"/>
    </row>
    <row r="135" spans="3:34" s="230" customFormat="1" ht="15" customHeight="1">
      <c r="C135" s="1202"/>
      <c r="D135" s="173" t="str">
        <f>IF(Indice_index!$Z$1=1,"outubro","October")</f>
        <v>October</v>
      </c>
      <c r="E135" s="1213">
        <v>413984</v>
      </c>
      <c r="F135" s="1213">
        <v>67651</v>
      </c>
      <c r="G135" s="1213">
        <v>165294</v>
      </c>
      <c r="H135" s="1213">
        <v>646929</v>
      </c>
      <c r="I135" s="1214">
        <v>1133.2</v>
      </c>
      <c r="J135" s="1208"/>
      <c r="K135" s="1215">
        <v>404860</v>
      </c>
      <c r="M135" s="228"/>
      <c r="N135" s="228"/>
      <c r="O135" s="228"/>
      <c r="P135" s="228"/>
      <c r="Q135" s="228"/>
      <c r="R135" s="228"/>
      <c r="S135" s="228"/>
      <c r="T135" s="50"/>
      <c r="U135" s="171"/>
      <c r="V135" s="171"/>
      <c r="W135" s="171"/>
      <c r="X135" s="171"/>
      <c r="Y135" s="171"/>
      <c r="Z135" s="171"/>
      <c r="AA135" s="171"/>
      <c r="AB135" s="171"/>
      <c r="AC135" s="171"/>
      <c r="AD135" s="171"/>
      <c r="AE135" s="171"/>
      <c r="AF135" s="171"/>
      <c r="AG135" s="171"/>
      <c r="AH135" s="171"/>
    </row>
    <row r="136" spans="3:34" s="230" customFormat="1" ht="15" customHeight="1">
      <c r="C136" s="1202"/>
      <c r="D136" s="173" t="str">
        <f>IF(Indice_index!$Z$1=1,"novembro","November")</f>
        <v>November</v>
      </c>
      <c r="E136" s="1216">
        <v>414230</v>
      </c>
      <c r="F136" s="1216">
        <v>67525</v>
      </c>
      <c r="G136" s="1216">
        <v>165434</v>
      </c>
      <c r="H136" s="1216">
        <v>647189</v>
      </c>
      <c r="I136" s="1217">
        <v>2243</v>
      </c>
      <c r="J136" s="1217"/>
      <c r="K136" s="1216">
        <v>403538</v>
      </c>
      <c r="M136" s="228"/>
      <c r="N136" s="228"/>
      <c r="O136" s="228"/>
      <c r="P136" s="228"/>
      <c r="Q136" s="228"/>
      <c r="R136" s="228"/>
      <c r="S136" s="228"/>
      <c r="T136" s="50"/>
      <c r="U136" s="171"/>
      <c r="V136" s="171"/>
      <c r="W136" s="171"/>
      <c r="X136" s="171"/>
      <c r="Y136" s="171"/>
      <c r="Z136" s="171"/>
      <c r="AA136" s="171"/>
      <c r="AB136" s="171"/>
      <c r="AC136" s="171"/>
      <c r="AD136" s="171"/>
      <c r="AE136" s="171"/>
      <c r="AF136" s="171"/>
      <c r="AG136" s="171"/>
      <c r="AH136" s="171"/>
    </row>
    <row r="137" spans="3:34" s="172" customFormat="1" ht="15" customHeight="1">
      <c r="C137" s="1204"/>
      <c r="D137" s="173" t="str">
        <f>IF(Indice_index!$Z$1=1,"dezembro","December")</f>
        <v>December</v>
      </c>
      <c r="E137" s="1232">
        <v>414572</v>
      </c>
      <c r="F137" s="1232">
        <v>67370</v>
      </c>
      <c r="G137" s="1232">
        <v>165541</v>
      </c>
      <c r="H137" s="1232">
        <v>647483</v>
      </c>
      <c r="I137" s="1233">
        <v>1151.7</v>
      </c>
      <c r="J137" s="1233"/>
      <c r="K137" s="1232">
        <v>402099</v>
      </c>
      <c r="M137" s="228"/>
      <c r="N137" s="228"/>
      <c r="O137" s="228"/>
      <c r="P137" s="228"/>
      <c r="Q137" s="228"/>
      <c r="R137" s="228"/>
      <c r="S137" s="228"/>
      <c r="T137" s="162"/>
      <c r="U137" s="173"/>
      <c r="V137" s="173"/>
      <c r="W137" s="173"/>
      <c r="X137" s="173"/>
      <c r="Y137" s="173"/>
      <c r="Z137" s="173"/>
      <c r="AA137" s="173"/>
      <c r="AB137" s="173"/>
      <c r="AC137" s="173"/>
      <c r="AD137" s="173"/>
      <c r="AE137" s="173"/>
      <c r="AF137" s="173"/>
      <c r="AG137" s="173"/>
      <c r="AH137" s="173"/>
    </row>
    <row r="138" spans="3:34" s="230" customFormat="1" ht="15" customHeight="1">
      <c r="C138" s="1203" t="s">
        <v>75</v>
      </c>
      <c r="D138" s="173"/>
      <c r="E138" s="173"/>
      <c r="F138" s="173"/>
      <c r="G138" s="173"/>
      <c r="H138" s="173"/>
      <c r="I138" s="172"/>
      <c r="J138" s="172"/>
      <c r="K138" s="173"/>
      <c r="M138" s="233"/>
      <c r="N138" s="233"/>
      <c r="O138" s="233"/>
      <c r="P138" s="233"/>
      <c r="Q138" s="233"/>
      <c r="R138" s="233"/>
      <c r="S138" s="233"/>
      <c r="T138" s="50"/>
      <c r="U138" s="171"/>
      <c r="V138" s="171"/>
      <c r="W138" s="171"/>
      <c r="X138" s="171"/>
      <c r="Y138" s="171"/>
      <c r="Z138" s="171"/>
      <c r="AA138" s="171"/>
      <c r="AB138" s="171"/>
      <c r="AC138" s="171"/>
      <c r="AD138" s="171"/>
      <c r="AE138" s="171"/>
      <c r="AF138" s="171"/>
      <c r="AG138" s="171"/>
      <c r="AH138" s="171"/>
    </row>
    <row r="139" spans="3:34" s="230" customFormat="1" ht="15" customHeight="1">
      <c r="C139" s="1202"/>
      <c r="D139" s="173" t="str">
        <f>IF(Indice_index!$Z$1=1,"janeiro","January")</f>
        <v>January</v>
      </c>
      <c r="E139" s="1234">
        <v>414962</v>
      </c>
      <c r="F139" s="1234">
        <v>67188</v>
      </c>
      <c r="G139" s="1234">
        <v>165355</v>
      </c>
      <c r="H139" s="1234">
        <v>647505</v>
      </c>
      <c r="I139" s="1235">
        <v>1175.9000000000001</v>
      </c>
      <c r="J139" s="1235"/>
      <c r="K139" s="1234">
        <v>400756</v>
      </c>
      <c r="M139" s="233"/>
      <c r="N139" s="233"/>
      <c r="O139" s="233"/>
      <c r="P139" s="233"/>
      <c r="Q139" s="233"/>
      <c r="R139" s="233"/>
      <c r="S139" s="233"/>
      <c r="T139" s="50"/>
      <c r="U139" s="171"/>
      <c r="V139" s="171"/>
      <c r="W139" s="171"/>
      <c r="X139" s="171"/>
      <c r="Y139" s="171"/>
      <c r="Z139" s="171"/>
      <c r="AA139" s="171"/>
      <c r="AB139" s="171"/>
      <c r="AC139" s="171"/>
      <c r="AD139" s="171"/>
      <c r="AE139" s="171"/>
      <c r="AF139" s="171"/>
      <c r="AG139" s="171"/>
      <c r="AH139" s="171"/>
    </row>
    <row r="140" spans="3:34" s="230" customFormat="1" ht="15" customHeight="1">
      <c r="C140" s="1202"/>
      <c r="D140" s="173" t="str">
        <f>IF(Indice_index!$Z$1=1,"fevereiro","February")</f>
        <v>February</v>
      </c>
      <c r="E140" s="1236">
        <v>415095</v>
      </c>
      <c r="F140" s="1236">
        <v>66947</v>
      </c>
      <c r="G140" s="1236">
        <v>165213</v>
      </c>
      <c r="H140" s="1237">
        <v>647255</v>
      </c>
      <c r="I140" s="1238">
        <v>1146.3</v>
      </c>
      <c r="J140" s="1238"/>
      <c r="K140" s="1236">
        <v>399744</v>
      </c>
      <c r="M140" s="233"/>
      <c r="N140" s="233"/>
      <c r="O140" s="233"/>
      <c r="P140" s="233"/>
      <c r="Q140" s="233"/>
      <c r="R140" s="233"/>
      <c r="S140" s="233"/>
      <c r="T140" s="50"/>
      <c r="U140" s="171"/>
      <c r="V140" s="171"/>
      <c r="W140" s="171"/>
      <c r="X140" s="171"/>
      <c r="Y140" s="171"/>
      <c r="Z140" s="171"/>
      <c r="AA140" s="171"/>
      <c r="AB140" s="171"/>
      <c r="AC140" s="171"/>
      <c r="AD140" s="171"/>
      <c r="AE140" s="171"/>
      <c r="AF140" s="171"/>
      <c r="AG140" s="171"/>
      <c r="AH140" s="171"/>
    </row>
    <row r="141" spans="3:34" s="230" customFormat="1" ht="15" customHeight="1">
      <c r="C141" s="1202"/>
      <c r="D141" s="173" t="str">
        <f>IF(Indice_index!$Z$1=1,"março","March")</f>
        <v>March</v>
      </c>
      <c r="E141" s="1239">
        <v>415095</v>
      </c>
      <c r="F141" s="1239">
        <v>66747</v>
      </c>
      <c r="G141" s="1239">
        <v>165126</v>
      </c>
      <c r="H141" s="1239">
        <v>646968</v>
      </c>
      <c r="I141" s="1240">
        <v>1147.5999999999999</v>
      </c>
      <c r="J141" s="1240"/>
      <c r="K141" s="1239">
        <v>398493</v>
      </c>
      <c r="M141" s="233"/>
      <c r="N141" s="233"/>
      <c r="O141" s="233"/>
      <c r="P141" s="233"/>
      <c r="Q141" s="233"/>
      <c r="R141" s="233"/>
      <c r="S141" s="233"/>
      <c r="T141" s="50"/>
      <c r="U141" s="171"/>
      <c r="V141" s="171"/>
      <c r="W141" s="171"/>
      <c r="X141" s="171"/>
      <c r="Y141" s="171"/>
      <c r="Z141" s="171"/>
      <c r="AA141" s="171"/>
      <c r="AB141" s="171"/>
      <c r="AC141" s="171"/>
      <c r="AD141" s="171"/>
      <c r="AE141" s="171"/>
      <c r="AF141" s="171"/>
      <c r="AG141" s="171"/>
      <c r="AH141" s="171"/>
    </row>
    <row r="142" spans="3:34" s="230" customFormat="1" ht="15" customHeight="1">
      <c r="C142" s="1202"/>
      <c r="D142" s="173" t="str">
        <f>IF(Indice_index!$Z$1=1,"abril","April")</f>
        <v>April</v>
      </c>
      <c r="E142" s="1205">
        <v>415264</v>
      </c>
      <c r="F142" s="1205">
        <v>66550</v>
      </c>
      <c r="G142" s="1205">
        <v>165266</v>
      </c>
      <c r="H142" s="1205">
        <v>647080</v>
      </c>
      <c r="I142" s="1206">
        <v>1150.2</v>
      </c>
      <c r="J142" s="1206"/>
      <c r="K142" s="1205">
        <v>396892</v>
      </c>
      <c r="M142" s="233"/>
      <c r="N142" s="233"/>
      <c r="O142" s="233"/>
      <c r="P142" s="233"/>
      <c r="Q142" s="233"/>
      <c r="R142" s="233"/>
      <c r="S142" s="233"/>
      <c r="T142" s="50"/>
      <c r="U142" s="171"/>
      <c r="V142" s="171"/>
      <c r="W142" s="171"/>
      <c r="X142" s="171"/>
      <c r="Y142" s="171"/>
      <c r="Z142" s="171"/>
      <c r="AA142" s="171"/>
      <c r="AB142" s="171"/>
      <c r="AC142" s="171"/>
      <c r="AD142" s="171"/>
      <c r="AE142" s="171"/>
      <c r="AF142" s="171"/>
      <c r="AG142" s="171"/>
      <c r="AH142" s="171"/>
    </row>
    <row r="143" spans="3:34" s="230" customFormat="1" ht="15" customHeight="1">
      <c r="C143" s="1202"/>
      <c r="D143" s="173" t="str">
        <f>IF(Indice_index!$Z$1=1,"maio","May")</f>
        <v>May</v>
      </c>
      <c r="E143" s="1222">
        <v>415728</v>
      </c>
      <c r="F143" s="1222">
        <v>66359</v>
      </c>
      <c r="G143" s="1222">
        <v>164872</v>
      </c>
      <c r="H143" s="1222">
        <v>646959</v>
      </c>
      <c r="I143" s="1223">
        <v>1139.9000000000001</v>
      </c>
      <c r="J143" s="1223"/>
      <c r="K143" s="1222">
        <v>395505</v>
      </c>
      <c r="M143" s="233"/>
      <c r="N143" s="233"/>
      <c r="O143" s="233"/>
      <c r="P143" s="233"/>
      <c r="Q143" s="233"/>
      <c r="R143" s="233"/>
      <c r="S143" s="233"/>
      <c r="T143" s="50"/>
      <c r="U143" s="171"/>
      <c r="V143" s="171"/>
      <c r="W143" s="171"/>
      <c r="X143" s="171"/>
      <c r="Y143" s="171"/>
      <c r="Z143" s="171"/>
      <c r="AA143" s="171"/>
      <c r="AB143" s="171"/>
      <c r="AC143" s="171"/>
      <c r="AD143" s="171"/>
      <c r="AE143" s="171"/>
      <c r="AF143" s="171"/>
      <c r="AG143" s="171"/>
      <c r="AH143" s="171"/>
    </row>
    <row r="144" spans="3:34" s="230" customFormat="1" ht="15" hidden="1" customHeight="1">
      <c r="C144" s="1202"/>
      <c r="D144" s="173" t="str">
        <f>IF(Indice_index!$Z$1=1,"junho","June")</f>
        <v>June</v>
      </c>
      <c r="E144" s="1224"/>
      <c r="F144" s="1224"/>
      <c r="G144" s="1224"/>
      <c r="H144" s="1224"/>
      <c r="I144" s="1225"/>
      <c r="J144" s="1225"/>
      <c r="K144" s="1224"/>
      <c r="M144" s="233"/>
      <c r="N144" s="233"/>
      <c r="O144" s="233"/>
      <c r="P144" s="233"/>
      <c r="Q144" s="233"/>
      <c r="R144" s="233"/>
      <c r="S144" s="233"/>
      <c r="T144" s="50"/>
      <c r="U144" s="171"/>
      <c r="V144" s="171"/>
      <c r="W144" s="171"/>
      <c r="X144" s="171"/>
      <c r="Y144" s="171"/>
      <c r="Z144" s="171"/>
      <c r="AA144" s="171"/>
      <c r="AB144" s="171"/>
      <c r="AC144" s="171"/>
      <c r="AD144" s="171"/>
      <c r="AE144" s="171"/>
      <c r="AF144" s="171"/>
      <c r="AG144" s="171"/>
      <c r="AH144" s="171"/>
    </row>
    <row r="145" spans="3:34" s="230" customFormat="1" ht="15" hidden="1" customHeight="1">
      <c r="C145" s="1202"/>
      <c r="D145" s="173" t="str">
        <f>IF(Indice_index!$Z$1=1,"julho","July")</f>
        <v>July</v>
      </c>
      <c r="E145" s="1226"/>
      <c r="F145" s="1226"/>
      <c r="G145" s="1226"/>
      <c r="H145" s="1226"/>
      <c r="I145" s="1227"/>
      <c r="J145" s="1227"/>
      <c r="K145" s="1226"/>
      <c r="M145" s="233"/>
      <c r="N145" s="233"/>
      <c r="O145" s="233"/>
      <c r="P145" s="233"/>
      <c r="Q145" s="233"/>
      <c r="R145" s="233"/>
      <c r="S145" s="233"/>
      <c r="T145" s="50"/>
      <c r="U145" s="171"/>
      <c r="V145" s="171"/>
      <c r="W145" s="171"/>
      <c r="X145" s="171"/>
      <c r="Y145" s="171"/>
      <c r="Z145" s="171"/>
      <c r="AA145" s="171"/>
      <c r="AB145" s="171"/>
      <c r="AC145" s="171"/>
      <c r="AD145" s="171"/>
      <c r="AE145" s="171"/>
      <c r="AF145" s="171"/>
      <c r="AG145" s="171"/>
      <c r="AH145" s="171"/>
    </row>
    <row r="146" spans="3:34" s="230" customFormat="1" ht="15" hidden="1" customHeight="1">
      <c r="C146" s="1202"/>
      <c r="D146" s="173" t="str">
        <f>IF(Indice_index!$Z$1=1,"agosto","August")</f>
        <v>August</v>
      </c>
      <c r="E146" s="1228"/>
      <c r="F146" s="1228"/>
      <c r="G146" s="1228"/>
      <c r="H146" s="1228"/>
      <c r="I146" s="1229"/>
      <c r="J146" s="1229"/>
      <c r="K146" s="1228"/>
      <c r="M146" s="228"/>
      <c r="N146" s="228"/>
      <c r="O146" s="228"/>
      <c r="P146" s="228"/>
      <c r="Q146" s="228"/>
      <c r="R146" s="228"/>
      <c r="S146" s="228"/>
      <c r="T146" s="50"/>
      <c r="U146" s="171"/>
      <c r="V146" s="171"/>
      <c r="W146" s="171"/>
      <c r="X146" s="171"/>
      <c r="Y146" s="171"/>
      <c r="Z146" s="171"/>
      <c r="AA146" s="171"/>
      <c r="AB146" s="171"/>
      <c r="AC146" s="171"/>
      <c r="AD146" s="171"/>
      <c r="AE146" s="171"/>
      <c r="AF146" s="171"/>
      <c r="AG146" s="171"/>
      <c r="AH146" s="171"/>
    </row>
    <row r="147" spans="3:34" s="230" customFormat="1" ht="15" hidden="1" customHeight="1">
      <c r="C147" s="1202"/>
      <c r="D147" s="173" t="str">
        <f>IF(Indice_index!$Z$1=1,"setembro","September")</f>
        <v>September</v>
      </c>
      <c r="E147" s="1230"/>
      <c r="F147" s="1230"/>
      <c r="G147" s="1230"/>
      <c r="H147" s="1230"/>
      <c r="I147" s="1231"/>
      <c r="J147" s="1231"/>
      <c r="K147" s="1230"/>
      <c r="M147" s="228"/>
      <c r="N147" s="228"/>
      <c r="O147" s="228"/>
      <c r="P147" s="228"/>
      <c r="Q147" s="228"/>
      <c r="R147" s="228"/>
      <c r="S147" s="228"/>
      <c r="T147" s="50"/>
      <c r="U147" s="171"/>
      <c r="V147" s="171"/>
      <c r="W147" s="171"/>
      <c r="X147" s="171"/>
      <c r="Y147" s="171"/>
      <c r="Z147" s="171"/>
      <c r="AA147" s="171"/>
      <c r="AB147" s="171"/>
      <c r="AC147" s="171"/>
      <c r="AD147" s="171"/>
      <c r="AE147" s="171"/>
      <c r="AF147" s="171"/>
      <c r="AG147" s="171"/>
      <c r="AH147" s="171"/>
    </row>
    <row r="148" spans="3:34" s="230" customFormat="1" ht="15" hidden="1" customHeight="1">
      <c r="C148" s="1202"/>
      <c r="D148" s="173" t="str">
        <f>IF(Indice_index!$Z$1=1,"outubro","October")</f>
        <v>October</v>
      </c>
      <c r="E148" s="1213"/>
      <c r="F148" s="1213"/>
      <c r="G148" s="1213"/>
      <c r="H148" s="1213"/>
      <c r="I148" s="1214"/>
      <c r="J148" s="1208"/>
      <c r="K148" s="1215"/>
      <c r="M148" s="228"/>
      <c r="N148" s="228"/>
      <c r="O148" s="228"/>
      <c r="P148" s="228"/>
      <c r="Q148" s="228"/>
      <c r="R148" s="228"/>
      <c r="S148" s="228"/>
      <c r="T148" s="50"/>
      <c r="U148" s="171"/>
      <c r="V148" s="171"/>
      <c r="W148" s="171"/>
      <c r="X148" s="171"/>
      <c r="Y148" s="171"/>
      <c r="Z148" s="171"/>
      <c r="AA148" s="171"/>
      <c r="AB148" s="171"/>
      <c r="AC148" s="171"/>
      <c r="AD148" s="171"/>
      <c r="AE148" s="171"/>
      <c r="AF148" s="171"/>
      <c r="AG148" s="171"/>
      <c r="AH148" s="171"/>
    </row>
    <row r="149" spans="3:34" s="230" customFormat="1" ht="15" hidden="1" customHeight="1">
      <c r="C149" s="1202"/>
      <c r="D149" s="173" t="str">
        <f>IF(Indice_index!$Z$1=1,"novembro","November")</f>
        <v>November</v>
      </c>
      <c r="E149" s="1216"/>
      <c r="F149" s="1216"/>
      <c r="G149" s="1216"/>
      <c r="H149" s="1216"/>
      <c r="I149" s="1217"/>
      <c r="J149" s="1217"/>
      <c r="K149" s="1216"/>
      <c r="M149" s="228"/>
      <c r="N149" s="228"/>
      <c r="O149" s="228"/>
      <c r="P149" s="228"/>
      <c r="Q149" s="228"/>
      <c r="R149" s="228"/>
      <c r="S149" s="228"/>
      <c r="T149" s="50"/>
      <c r="U149" s="171"/>
      <c r="V149" s="171"/>
      <c r="W149" s="171"/>
      <c r="X149" s="171"/>
      <c r="Y149" s="171"/>
      <c r="Z149" s="171"/>
      <c r="AA149" s="171"/>
      <c r="AB149" s="171"/>
      <c r="AC149" s="171"/>
      <c r="AD149" s="171"/>
      <c r="AE149" s="171"/>
      <c r="AF149" s="171"/>
      <c r="AG149" s="171"/>
      <c r="AH149" s="171"/>
    </row>
    <row r="150" spans="3:34" s="172" customFormat="1" ht="15" hidden="1" customHeight="1">
      <c r="C150" s="1204"/>
      <c r="D150" s="173" t="str">
        <f>IF(Indice_index!$Z$1=1,"dezembro","December")</f>
        <v>December</v>
      </c>
      <c r="E150" s="1232"/>
      <c r="F150" s="1232"/>
      <c r="G150" s="1232"/>
      <c r="H150" s="1232"/>
      <c r="I150" s="1233"/>
      <c r="J150" s="1233"/>
      <c r="K150" s="1232"/>
      <c r="M150" s="228"/>
      <c r="N150" s="228"/>
      <c r="O150" s="228"/>
      <c r="P150" s="228"/>
      <c r="Q150" s="228"/>
      <c r="R150" s="228"/>
      <c r="S150" s="228"/>
      <c r="T150" s="162"/>
      <c r="U150" s="173"/>
      <c r="V150" s="173"/>
      <c r="W150" s="173"/>
      <c r="X150" s="173"/>
      <c r="Y150" s="173"/>
      <c r="Z150" s="173"/>
      <c r="AA150" s="173"/>
      <c r="AB150" s="173"/>
      <c r="AC150" s="173"/>
      <c r="AD150" s="173"/>
      <c r="AE150" s="173"/>
      <c r="AF150" s="173"/>
      <c r="AG150" s="173"/>
      <c r="AH150" s="173"/>
    </row>
    <row r="151" spans="3:34" s="230" customFormat="1" ht="3" customHeight="1">
      <c r="C151" s="1196"/>
      <c r="D151" s="1197"/>
      <c r="E151" s="1197"/>
      <c r="F151" s="1197"/>
      <c r="G151" s="1197"/>
      <c r="H151" s="1197"/>
      <c r="I151" s="1197"/>
      <c r="K151" s="1241"/>
      <c r="L151" s="172"/>
      <c r="M151" s="228"/>
      <c r="N151" s="228"/>
      <c r="O151" s="228"/>
      <c r="P151" s="228"/>
      <c r="Q151" s="228"/>
      <c r="R151" s="228"/>
      <c r="S151" s="228"/>
      <c r="AA151" s="171"/>
    </row>
    <row r="152" spans="3:34" s="230" customFormat="1" ht="15" customHeight="1">
      <c r="C152" s="1204"/>
      <c r="D152" s="172"/>
      <c r="E152" s="172"/>
      <c r="F152" s="172"/>
      <c r="G152" s="172"/>
      <c r="H152" s="172"/>
      <c r="I152" s="172"/>
      <c r="K152" s="172"/>
      <c r="L152" s="172"/>
      <c r="M152" s="228"/>
      <c r="N152" s="228"/>
      <c r="O152" s="228"/>
      <c r="P152" s="228"/>
      <c r="Q152" s="228"/>
      <c r="R152" s="228"/>
      <c r="S152" s="228"/>
      <c r="AA152" s="171"/>
    </row>
    <row r="153" spans="3:34" s="230" customFormat="1" ht="15" customHeight="1">
      <c r="C153" s="1204"/>
      <c r="D153" s="172"/>
      <c r="E153" s="172"/>
      <c r="F153" s="172"/>
      <c r="G153" s="172"/>
      <c r="H153" s="172"/>
      <c r="I153" s="172"/>
      <c r="K153" s="172"/>
      <c r="L153" s="172"/>
      <c r="M153" s="172"/>
      <c r="N153" s="172"/>
      <c r="O153" s="172"/>
      <c r="P153" s="172"/>
      <c r="AA153" s="171"/>
    </row>
    <row r="154" spans="3:34" s="230" customFormat="1" ht="15" customHeight="1">
      <c r="C154" s="1191"/>
      <c r="D154" s="1242"/>
      <c r="E154" s="1242"/>
      <c r="F154" s="1242"/>
      <c r="G154" s="1242"/>
      <c r="H154" s="172"/>
      <c r="I154" s="172"/>
      <c r="J154" s="172"/>
      <c r="K154" s="1193" t="str">
        <f>IF(Indice_index!$Z$1=1,"Subscritores","Subscribers")</f>
        <v>Subscribers</v>
      </c>
      <c r="L154" s="172"/>
      <c r="M154" s="172"/>
      <c r="N154" s="172"/>
      <c r="O154" s="172"/>
      <c r="P154" s="172"/>
      <c r="Q154" s="172"/>
      <c r="R154" s="172"/>
      <c r="S154" s="172"/>
      <c r="T154" s="172"/>
      <c r="X154" s="50"/>
      <c r="Y154" s="50"/>
      <c r="Z154" s="50"/>
      <c r="AA154" s="171"/>
    </row>
    <row r="155" spans="3:34" s="230" customFormat="1" ht="15.75" customHeight="1">
      <c r="C155" s="1243"/>
      <c r="D155" s="1244"/>
      <c r="E155" s="1762" t="str">
        <f>IF(Indice_index!$Z$1=1,"VH do número de pensionistas (%)","YOY Change Rate of the number of subscribers (%)")</f>
        <v>YOY Change Rate of the number of subscribers (%)</v>
      </c>
      <c r="F155" s="1757"/>
      <c r="G155" s="1757"/>
      <c r="H155" s="1763"/>
      <c r="I155" s="1759" t="str">
        <f>IF(Indice_index!$Z$1=1,"VHA Valor médio pago por pensionista","YOY Change Rate of the Average Value paid per Pensioner")</f>
        <v>YOY Change Rate of the Average Value paid per Pensioner</v>
      </c>
      <c r="K155" s="1764" t="str">
        <f>IF(Indice_index!$Z$1=1,"VHA do Número de subscritores (%)","YOY Change Rate of the Number of Subscribers (%)")</f>
        <v>YOY Change Rate of the Number of Subscribers (%)</v>
      </c>
      <c r="L155" s="172"/>
      <c r="M155" s="172"/>
      <c r="N155" s="172"/>
      <c r="O155" s="172"/>
      <c r="P155" s="172"/>
      <c r="Q155" s="172"/>
      <c r="R155" s="172"/>
      <c r="S155" s="172"/>
      <c r="T155" s="172"/>
      <c r="X155" s="50"/>
      <c r="Y155" s="50"/>
      <c r="Z155" s="50"/>
      <c r="AA155" s="171"/>
    </row>
    <row r="156" spans="3:34" s="230" customFormat="1" ht="40.5" customHeight="1">
      <c r="C156" s="1245"/>
      <c r="D156" s="1246"/>
      <c r="E156" s="1247" t="str">
        <f>IF(Indice_index!$Z$1=1,"Velhice e Outros Motivos","Old age and other Reasons")</f>
        <v>Old age and other Reasons</v>
      </c>
      <c r="F156" s="1199" t="str">
        <f>IF(Indice_index!$Z$1=1,"Invalidez","Disability")</f>
        <v>Disability</v>
      </c>
      <c r="G156" s="1198" t="str">
        <f>IF(Indice_index!$Z$1=1,"Sobrevivência e Outros","Survival and Others")</f>
        <v>Survival and Others</v>
      </c>
      <c r="H156" s="1248" t="str">
        <f>IF(Indice_index!$Z$1=1,"Total de Pensionistas","Total of Pensioners")</f>
        <v>Total of Pensioners</v>
      </c>
      <c r="I156" s="1759"/>
      <c r="K156" s="1764"/>
      <c r="L156" s="172"/>
      <c r="M156" s="172"/>
      <c r="N156" s="172"/>
      <c r="O156" s="172"/>
      <c r="P156" s="172"/>
      <c r="Q156" s="172"/>
      <c r="R156" s="172"/>
      <c r="S156" s="172"/>
      <c r="T156" s="172"/>
      <c r="X156" s="50"/>
      <c r="Y156" s="50"/>
      <c r="Z156" s="50"/>
      <c r="AA156" s="171"/>
    </row>
    <row r="157" spans="3:34" s="230" customFormat="1" hidden="1">
      <c r="C157" s="1200" t="s">
        <v>11</v>
      </c>
      <c r="D157" s="1201"/>
      <c r="E157" s="173"/>
      <c r="F157" s="173"/>
      <c r="G157" s="173"/>
      <c r="H157" s="173"/>
      <c r="I157" s="172"/>
      <c r="K157" s="172"/>
      <c r="L157" s="172"/>
      <c r="M157" s="172"/>
      <c r="N157" s="172"/>
      <c r="O157" s="172"/>
      <c r="P157" s="172"/>
      <c r="Q157" s="172"/>
      <c r="R157" s="172"/>
      <c r="S157" s="172"/>
      <c r="T157" s="172"/>
      <c r="X157" s="50"/>
      <c r="Y157" s="50"/>
      <c r="Z157" s="50"/>
      <c r="AA157" s="171"/>
    </row>
    <row r="158" spans="3:34" s="230" customFormat="1" ht="11.25" hidden="1">
      <c r="C158" s="1200"/>
      <c r="D158" s="173" t="str">
        <f>IF(Indice_index!$Z$1=1,"janeiro","January")</f>
        <v>January</v>
      </c>
      <c r="E158" s="172">
        <v>3.3</v>
      </c>
      <c r="F158" s="172">
        <v>0.1</v>
      </c>
      <c r="G158" s="172">
        <v>1.1000000000000001</v>
      </c>
      <c r="H158" s="172">
        <v>2.2999999999999998</v>
      </c>
      <c r="I158" s="172">
        <v>1.9</v>
      </c>
      <c r="K158" s="172">
        <v>-4.5999999999999996</v>
      </c>
      <c r="L158" s="172"/>
      <c r="M158" s="172"/>
      <c r="N158" s="172"/>
      <c r="O158" s="172"/>
      <c r="P158" s="172"/>
      <c r="Q158" s="172"/>
      <c r="R158" s="172"/>
      <c r="S158" s="172"/>
      <c r="T158" s="172"/>
      <c r="AA158" s="171"/>
    </row>
    <row r="159" spans="3:34" s="230" customFormat="1" ht="11.25" hidden="1">
      <c r="C159" s="1200"/>
      <c r="D159" s="173" t="str">
        <f>IF(Indice_index!$Z$1=1,"fevereiro","February")</f>
        <v>February</v>
      </c>
      <c r="E159" s="172">
        <v>3.3</v>
      </c>
      <c r="F159" s="172">
        <v>0.2</v>
      </c>
      <c r="G159" s="172">
        <v>1.2</v>
      </c>
      <c r="H159" s="172">
        <v>2.4</v>
      </c>
      <c r="I159" s="172">
        <v>1.6</v>
      </c>
      <c r="K159" s="172">
        <v>-4.5</v>
      </c>
      <c r="L159" s="172"/>
      <c r="M159" s="172"/>
      <c r="N159" s="172"/>
      <c r="O159" s="172"/>
      <c r="P159" s="172"/>
      <c r="Q159" s="172"/>
      <c r="R159" s="172"/>
      <c r="S159" s="172"/>
      <c r="T159" s="172"/>
      <c r="AA159" s="171"/>
    </row>
    <row r="160" spans="3:34" s="230" customFormat="1" ht="11.25" hidden="1">
      <c r="C160" s="1200"/>
      <c r="D160" s="173" t="str">
        <f>IF(Indice_index!$Z$1=1,"março","March")</f>
        <v>March</v>
      </c>
      <c r="E160" s="172">
        <v>3.2</v>
      </c>
      <c r="F160" s="172">
        <v>0.2</v>
      </c>
      <c r="G160" s="172">
        <v>1.4</v>
      </c>
      <c r="H160" s="172">
        <v>2.4</v>
      </c>
      <c r="I160" s="172">
        <v>1.7</v>
      </c>
      <c r="K160" s="172">
        <v>-5</v>
      </c>
      <c r="L160" s="172"/>
      <c r="M160" s="172"/>
      <c r="N160" s="172"/>
      <c r="O160" s="172"/>
      <c r="P160" s="172"/>
      <c r="Q160" s="172"/>
      <c r="R160" s="172"/>
      <c r="S160" s="172"/>
      <c r="T160" s="172"/>
      <c r="AA160" s="171"/>
    </row>
    <row r="161" spans="3:27" s="230" customFormat="1" ht="11.25" hidden="1">
      <c r="C161" s="1200"/>
      <c r="D161" s="173" t="str">
        <f>IF(Indice_index!$Z$1=1,"abril","April")</f>
        <v>April</v>
      </c>
      <c r="E161" s="172">
        <v>3</v>
      </c>
      <c r="F161" s="172">
        <v>0.4</v>
      </c>
      <c r="G161" s="172">
        <v>1.4</v>
      </c>
      <c r="H161" s="172">
        <v>2.2999999999999998</v>
      </c>
      <c r="I161" s="172">
        <v>0.2</v>
      </c>
      <c r="K161" s="172">
        <v>-4.9000000000000004</v>
      </c>
      <c r="L161" s="172"/>
      <c r="M161" s="172"/>
      <c r="N161" s="172"/>
      <c r="O161" s="172"/>
      <c r="P161" s="172"/>
      <c r="Q161" s="172"/>
      <c r="R161" s="172"/>
      <c r="S161" s="172"/>
      <c r="T161" s="172"/>
      <c r="AA161" s="171"/>
    </row>
    <row r="162" spans="3:27" s="230" customFormat="1" ht="11.25" hidden="1">
      <c r="C162" s="1200"/>
      <c r="D162" s="173" t="str">
        <f>IF(Indice_index!$Z$1=1,"maio","May")</f>
        <v>May</v>
      </c>
      <c r="E162" s="172">
        <v>2.9</v>
      </c>
      <c r="F162" s="172">
        <v>0.4</v>
      </c>
      <c r="G162" s="172">
        <v>1.5</v>
      </c>
      <c r="H162" s="172">
        <v>2.2000000000000002</v>
      </c>
      <c r="I162" s="172">
        <v>0.6</v>
      </c>
      <c r="K162" s="172">
        <v>-4.9000000000000004</v>
      </c>
      <c r="L162" s="172"/>
      <c r="M162" s="172"/>
      <c r="N162" s="172"/>
      <c r="O162" s="172"/>
      <c r="P162" s="172"/>
      <c r="Q162" s="172"/>
      <c r="R162" s="172"/>
      <c r="S162" s="172"/>
      <c r="T162" s="172"/>
      <c r="AA162" s="171"/>
    </row>
    <row r="163" spans="3:27" s="230" customFormat="1" ht="11.25" hidden="1">
      <c r="C163" s="1200"/>
      <c r="D163" s="173" t="str">
        <f>IF(Indice_index!$Z$1=1,"junho","June")</f>
        <v>June</v>
      </c>
      <c r="E163" s="172">
        <v>2.8</v>
      </c>
      <c r="F163" s="172">
        <v>0.6</v>
      </c>
      <c r="G163" s="172">
        <v>1.6</v>
      </c>
      <c r="H163" s="172">
        <v>2.2000000000000002</v>
      </c>
      <c r="I163" s="172">
        <v>1.1000000000000001</v>
      </c>
      <c r="K163" s="172">
        <v>-4.8</v>
      </c>
      <c r="L163" s="172"/>
      <c r="M163" s="172"/>
      <c r="N163" s="172"/>
      <c r="O163" s="172"/>
      <c r="P163" s="172"/>
      <c r="Q163" s="172"/>
      <c r="R163" s="172"/>
      <c r="S163" s="172"/>
      <c r="T163" s="172"/>
      <c r="AA163" s="171"/>
    </row>
    <row r="164" spans="3:27" s="230" customFormat="1" ht="11.25" hidden="1">
      <c r="C164" s="1200"/>
      <c r="D164" s="173" t="str">
        <f>IF(Indice_index!$Z$1=1,"julho","July")</f>
        <v>July</v>
      </c>
      <c r="E164" s="172">
        <v>2.7</v>
      </c>
      <c r="F164" s="172">
        <v>0.6</v>
      </c>
      <c r="G164" s="172">
        <v>1.6</v>
      </c>
      <c r="H164" s="172">
        <v>2.2000000000000002</v>
      </c>
      <c r="I164" s="172">
        <v>-39.1</v>
      </c>
      <c r="K164" s="172">
        <v>-4.8</v>
      </c>
      <c r="L164" s="172"/>
      <c r="M164" s="172"/>
      <c r="N164" s="172"/>
      <c r="O164" s="172"/>
      <c r="P164" s="172"/>
      <c r="Q164" s="172"/>
      <c r="R164" s="172"/>
      <c r="S164" s="172"/>
      <c r="T164" s="172"/>
      <c r="AA164" s="171"/>
    </row>
    <row r="165" spans="3:27" s="230" customFormat="1" ht="11.25" hidden="1">
      <c r="C165" s="1200"/>
      <c r="D165" s="173" t="str">
        <f>IF(Indice_index!$Z$1=1,"agosto","August")</f>
        <v>August</v>
      </c>
      <c r="E165" s="172">
        <v>2.8</v>
      </c>
      <c r="F165" s="172">
        <v>0.6</v>
      </c>
      <c r="G165" s="172">
        <v>1.7</v>
      </c>
      <c r="H165" s="172">
        <v>2.2999999999999998</v>
      </c>
      <c r="I165" s="172">
        <v>0.6</v>
      </c>
      <c r="K165" s="172">
        <v>-4.8</v>
      </c>
      <c r="L165" s="172"/>
      <c r="M165" s="172"/>
      <c r="N165" s="172"/>
      <c r="O165" s="172"/>
      <c r="P165" s="172"/>
      <c r="Q165" s="172"/>
      <c r="R165" s="172"/>
      <c r="S165" s="172"/>
      <c r="T165" s="172"/>
      <c r="AA165" s="171"/>
    </row>
    <row r="166" spans="3:27" s="230" customFormat="1" ht="11.25" hidden="1">
      <c r="C166" s="1200"/>
      <c r="D166" s="173" t="str">
        <f>IF(Indice_index!$Z$1=1,"setembro","September")</f>
        <v>September</v>
      </c>
      <c r="E166" s="172">
        <v>2.9</v>
      </c>
      <c r="F166" s="172">
        <v>0.6</v>
      </c>
      <c r="G166" s="172">
        <v>1.7</v>
      </c>
      <c r="H166" s="172">
        <v>2.2999999999999998</v>
      </c>
      <c r="I166" s="172">
        <v>-0.2</v>
      </c>
      <c r="K166" s="172">
        <v>-4.9000000000000004</v>
      </c>
      <c r="L166" s="172"/>
      <c r="M166" s="172"/>
      <c r="N166" s="172"/>
      <c r="O166" s="172"/>
      <c r="P166" s="172"/>
      <c r="Q166" s="172"/>
      <c r="R166" s="172"/>
      <c r="S166" s="172"/>
      <c r="T166" s="172"/>
      <c r="AA166" s="171"/>
    </row>
    <row r="167" spans="3:27" s="230" customFormat="1" ht="11.25" hidden="1">
      <c r="C167" s="1200"/>
      <c r="D167" s="173" t="str">
        <f>IF(Indice_index!$Z$1=1,"outubro","October")</f>
        <v>October</v>
      </c>
      <c r="E167" s="172">
        <v>3</v>
      </c>
      <c r="F167" s="172">
        <v>0.5</v>
      </c>
      <c r="G167" s="172">
        <v>1.8</v>
      </c>
      <c r="H167" s="172">
        <v>2.4</v>
      </c>
      <c r="I167" s="172">
        <v>0.2</v>
      </c>
      <c r="K167" s="172">
        <v>-4.9000000000000004</v>
      </c>
      <c r="L167" s="172"/>
      <c r="M167" s="172"/>
      <c r="N167" s="172"/>
      <c r="O167" s="172"/>
      <c r="P167" s="172"/>
      <c r="Q167" s="172"/>
      <c r="R167" s="172"/>
      <c r="S167" s="172"/>
      <c r="T167" s="172"/>
      <c r="AA167" s="171"/>
    </row>
    <row r="168" spans="3:27" s="230" customFormat="1" ht="11.25" hidden="1">
      <c r="C168" s="1200"/>
      <c r="D168" s="173" t="str">
        <f>IF(Indice_index!$Z$1=1,"novembro","November")</f>
        <v>November</v>
      </c>
      <c r="E168" s="172">
        <v>2.8</v>
      </c>
      <c r="F168" s="172">
        <v>-0.1</v>
      </c>
      <c r="G168" s="172">
        <v>1.6</v>
      </c>
      <c r="H168" s="172">
        <v>2.2000000000000002</v>
      </c>
      <c r="I168" s="172">
        <v>-38.799999999999997</v>
      </c>
      <c r="K168" s="172">
        <v>-4.9000000000000004</v>
      </c>
      <c r="L168" s="172"/>
      <c r="M168" s="172"/>
      <c r="N168" s="172"/>
      <c r="O168" s="172"/>
      <c r="P168" s="172"/>
      <c r="Q168" s="172"/>
      <c r="R168" s="172"/>
      <c r="S168" s="172"/>
      <c r="T168" s="172"/>
      <c r="AA168" s="171"/>
    </row>
    <row r="169" spans="3:27" s="230" customFormat="1" ht="11.25" hidden="1">
      <c r="C169" s="1200"/>
      <c r="D169" s="173" t="str">
        <f>IF(Indice_index!$Z$1=1,"dezembro","December")</f>
        <v>December</v>
      </c>
      <c r="E169" s="172">
        <v>2.5</v>
      </c>
      <c r="F169" s="172">
        <v>-0.2</v>
      </c>
      <c r="G169" s="172">
        <v>1.6</v>
      </c>
      <c r="H169" s="172">
        <v>1.9</v>
      </c>
      <c r="I169" s="172">
        <v>-0.2</v>
      </c>
      <c r="K169" s="172">
        <v>-4.9000000000000004</v>
      </c>
      <c r="L169" s="172"/>
      <c r="M169" s="172"/>
      <c r="N169" s="172"/>
      <c r="O169" s="172"/>
      <c r="P169" s="172"/>
      <c r="Q169" s="172"/>
      <c r="R169" s="172"/>
      <c r="S169" s="172"/>
      <c r="T169" s="172"/>
      <c r="AA169" s="171"/>
    </row>
    <row r="170" spans="3:27" s="230" customFormat="1" ht="11.25" hidden="1">
      <c r="C170" s="1200" t="s">
        <v>12</v>
      </c>
      <c r="D170" s="172"/>
      <c r="E170" s="172"/>
      <c r="F170" s="172"/>
      <c r="G170" s="172"/>
      <c r="H170" s="172"/>
      <c r="I170" s="172"/>
      <c r="K170" s="172"/>
      <c r="L170" s="172"/>
      <c r="M170" s="172"/>
      <c r="N170" s="172"/>
      <c r="O170" s="172"/>
      <c r="P170" s="172"/>
      <c r="Q170" s="172"/>
      <c r="R170" s="172"/>
      <c r="S170" s="172"/>
      <c r="T170" s="172"/>
      <c r="AA170" s="171"/>
    </row>
    <row r="171" spans="3:27" s="230" customFormat="1" ht="11.25" hidden="1">
      <c r="C171" s="1200"/>
      <c r="D171" s="173" t="str">
        <f>IF(Indice_index!$Z$1=1,"janeiro","January")</f>
        <v>January</v>
      </c>
      <c r="E171" s="172">
        <v>2.6</v>
      </c>
      <c r="F171" s="172">
        <v>-0.2</v>
      </c>
      <c r="G171" s="172">
        <v>1.7</v>
      </c>
      <c r="H171" s="172">
        <v>2</v>
      </c>
      <c r="I171" s="172">
        <v>0.2</v>
      </c>
      <c r="K171" s="172">
        <v>-4.9000000000000004</v>
      </c>
      <c r="L171" s="172"/>
      <c r="M171" s="172"/>
      <c r="N171" s="172"/>
      <c r="O171" s="172"/>
      <c r="P171" s="172"/>
      <c r="Q171" s="172"/>
      <c r="R171" s="172"/>
      <c r="S171" s="172"/>
      <c r="T171" s="172"/>
      <c r="AA171" s="171"/>
    </row>
    <row r="172" spans="3:27" s="230" customFormat="1" ht="11.25" hidden="1">
      <c r="C172" s="1202"/>
      <c r="D172" s="173" t="str">
        <f>IF(Indice_index!$Z$1=1,"fevereiro","February")</f>
        <v>February</v>
      </c>
      <c r="E172" s="172">
        <v>2.4</v>
      </c>
      <c r="F172" s="172">
        <v>-0.2</v>
      </c>
      <c r="G172" s="172">
        <v>1.6</v>
      </c>
      <c r="H172" s="172">
        <v>1.9</v>
      </c>
      <c r="I172" s="172">
        <v>16.600000000000001</v>
      </c>
      <c r="K172" s="172">
        <v>-4.8</v>
      </c>
      <c r="L172" s="172"/>
      <c r="M172" s="172"/>
      <c r="N172" s="172"/>
      <c r="O172" s="172"/>
      <c r="P172" s="172"/>
      <c r="Q172" s="172"/>
      <c r="R172" s="172"/>
      <c r="S172" s="172"/>
      <c r="T172" s="172"/>
      <c r="AA172" s="171"/>
    </row>
    <row r="173" spans="3:27" s="230" customFormat="1" ht="11.25" hidden="1">
      <c r="C173" s="1204"/>
      <c r="D173" s="173" t="str">
        <f>IF(Indice_index!$Z$1=1,"março","March")</f>
        <v>March</v>
      </c>
      <c r="E173" s="172">
        <v>2.5</v>
      </c>
      <c r="F173" s="172">
        <v>-0.3</v>
      </c>
      <c r="G173" s="172">
        <v>1.3</v>
      </c>
      <c r="H173" s="172">
        <v>1.9</v>
      </c>
      <c r="I173" s="172">
        <v>7.7</v>
      </c>
      <c r="K173" s="172">
        <v>-4.2</v>
      </c>
      <c r="L173" s="172"/>
      <c r="M173" s="172"/>
      <c r="N173" s="172"/>
      <c r="O173" s="172"/>
      <c r="P173" s="172"/>
      <c r="AA173" s="171"/>
    </row>
    <row r="174" spans="3:27" s="230" customFormat="1" ht="11.25" hidden="1">
      <c r="C174" s="1204"/>
      <c r="D174" s="173" t="str">
        <f>IF(Indice_index!$Z$1=1,"abril","April")</f>
        <v>April</v>
      </c>
      <c r="E174" s="172">
        <v>2.7</v>
      </c>
      <c r="F174" s="172">
        <v>-0.4</v>
      </c>
      <c r="G174" s="172">
        <v>1.3</v>
      </c>
      <c r="H174" s="172">
        <v>2</v>
      </c>
      <c r="I174" s="172">
        <v>9</v>
      </c>
      <c r="K174" s="172">
        <v>-4.3</v>
      </c>
      <c r="L174" s="172"/>
      <c r="M174" s="172"/>
      <c r="N174" s="172"/>
      <c r="O174" s="172"/>
      <c r="P174" s="172"/>
      <c r="AA174" s="171"/>
    </row>
    <row r="175" spans="3:27" s="230" customFormat="1" ht="11.25" hidden="1">
      <c r="C175" s="1204"/>
      <c r="D175" s="173" t="str">
        <f>IF(Indice_index!$Z$1=1,"maio","May")</f>
        <v>May</v>
      </c>
      <c r="E175" s="172">
        <v>2.7</v>
      </c>
      <c r="F175" s="172">
        <v>-0.3</v>
      </c>
      <c r="G175" s="172">
        <v>1.3</v>
      </c>
      <c r="H175" s="172">
        <v>2</v>
      </c>
      <c r="I175" s="172">
        <v>8.3000000000000007</v>
      </c>
      <c r="K175" s="172">
        <v>-4.2</v>
      </c>
      <c r="L175" s="172"/>
      <c r="M175" s="172"/>
      <c r="N175" s="172"/>
      <c r="O175" s="172"/>
      <c r="P175" s="172"/>
      <c r="AA175" s="171"/>
    </row>
    <row r="176" spans="3:27" s="230" customFormat="1" ht="11.25" hidden="1">
      <c r="C176" s="1204"/>
      <c r="D176" s="173" t="str">
        <f>IF(Indice_index!$Z$1=1,"junho","June")</f>
        <v>June</v>
      </c>
      <c r="E176" s="172">
        <v>2.6</v>
      </c>
      <c r="F176" s="172">
        <v>-0.1</v>
      </c>
      <c r="G176" s="172">
        <v>1.2</v>
      </c>
      <c r="H176" s="172">
        <v>1.9</v>
      </c>
      <c r="I176" s="172">
        <v>8.1999999999999993</v>
      </c>
      <c r="K176" s="172">
        <v>-4.3</v>
      </c>
      <c r="L176" s="172"/>
      <c r="M176" s="172"/>
      <c r="N176" s="172"/>
      <c r="O176" s="172"/>
      <c r="P176" s="172"/>
      <c r="AA176" s="171"/>
    </row>
    <row r="177" spans="3:27" s="230" customFormat="1" ht="11.25" hidden="1">
      <c r="C177" s="1204"/>
      <c r="D177" s="173" t="str">
        <f>IF(Indice_index!$Z$1=1,"julho","July")</f>
        <v>July</v>
      </c>
      <c r="E177" s="172">
        <v>2.5</v>
      </c>
      <c r="F177" s="172">
        <v>-0.2</v>
      </c>
      <c r="G177" s="172">
        <v>1.1000000000000001</v>
      </c>
      <c r="H177" s="172">
        <v>1.8</v>
      </c>
      <c r="I177" s="172">
        <v>14.7</v>
      </c>
      <c r="K177" s="172">
        <v>-4.3</v>
      </c>
      <c r="L177" s="172"/>
      <c r="M177" s="172"/>
      <c r="N177" s="172"/>
      <c r="O177" s="172"/>
      <c r="P177" s="172"/>
      <c r="AA177" s="171"/>
    </row>
    <row r="178" spans="3:27" s="230" customFormat="1" ht="11.25" hidden="1">
      <c r="C178" s="1204"/>
      <c r="D178" s="173" t="str">
        <f>IF(Indice_index!$Z$1=1,"agosto","August")</f>
        <v>August</v>
      </c>
      <c r="E178" s="172">
        <v>2.2999999999999998</v>
      </c>
      <c r="F178" s="172">
        <v>-0.2</v>
      </c>
      <c r="G178" s="172">
        <v>1.1000000000000001</v>
      </c>
      <c r="H178" s="172">
        <v>1.7</v>
      </c>
      <c r="I178" s="172">
        <v>8.6</v>
      </c>
      <c r="K178" s="172">
        <v>-4.4000000000000004</v>
      </c>
      <c r="L178" s="172"/>
      <c r="M178" s="172"/>
      <c r="N178" s="172"/>
      <c r="O178" s="172"/>
      <c r="P178" s="172"/>
      <c r="AA178" s="171"/>
    </row>
    <row r="179" spans="3:27" s="230" customFormat="1" ht="11.25" hidden="1">
      <c r="C179" s="1204"/>
      <c r="D179" s="173" t="str">
        <f>IF(Indice_index!$Z$1=1,"setembro","September")</f>
        <v>September</v>
      </c>
      <c r="E179" s="172">
        <v>2</v>
      </c>
      <c r="F179" s="172">
        <v>-0.3</v>
      </c>
      <c r="G179" s="172">
        <v>1</v>
      </c>
      <c r="H179" s="172">
        <v>1.5</v>
      </c>
      <c r="I179" s="172">
        <v>8.6</v>
      </c>
      <c r="K179" s="172">
        <v>-4.4000000000000004</v>
      </c>
      <c r="L179" s="172"/>
      <c r="M179" s="172"/>
      <c r="N179" s="172"/>
      <c r="O179" s="172"/>
      <c r="P179" s="172"/>
      <c r="AA179" s="171"/>
    </row>
    <row r="180" spans="3:27" s="230" customFormat="1" ht="11.25" hidden="1">
      <c r="C180" s="1204"/>
      <c r="D180" s="173" t="str">
        <f>IF(Indice_index!$Z$1=1,"outubro","October")</f>
        <v>October</v>
      </c>
      <c r="E180" s="172">
        <v>1.8</v>
      </c>
      <c r="F180" s="172">
        <v>-0.4</v>
      </c>
      <c r="G180" s="172">
        <v>1.1000000000000001</v>
      </c>
      <c r="H180" s="172">
        <v>1.4</v>
      </c>
      <c r="I180" s="172">
        <v>9.8000000000000007</v>
      </c>
      <c r="K180" s="172">
        <v>-4.3</v>
      </c>
      <c r="L180" s="172"/>
      <c r="M180" s="172"/>
      <c r="N180" s="172"/>
      <c r="O180" s="172"/>
      <c r="P180" s="172"/>
      <c r="AA180" s="171"/>
    </row>
    <row r="181" spans="3:27" s="230" customFormat="1" ht="11.25" hidden="1">
      <c r="C181" s="1204"/>
      <c r="D181" s="173" t="str">
        <f>IF(Indice_index!$Z$1=1,"novembro","November")</f>
        <v>November</v>
      </c>
      <c r="E181" s="172">
        <v>2</v>
      </c>
      <c r="F181" s="172">
        <v>0</v>
      </c>
      <c r="G181" s="172">
        <v>1.3</v>
      </c>
      <c r="H181" s="172">
        <v>1.6</v>
      </c>
      <c r="I181" s="172">
        <v>53.1</v>
      </c>
      <c r="K181" s="172">
        <v>-4.2</v>
      </c>
      <c r="L181" s="172"/>
      <c r="M181" s="172"/>
      <c r="N181" s="172"/>
      <c r="O181" s="172"/>
      <c r="P181" s="172"/>
      <c r="AA181" s="171"/>
    </row>
    <row r="182" spans="3:27" s="230" customFormat="1" ht="11.25" hidden="1">
      <c r="C182" s="1204"/>
      <c r="D182" s="173" t="str">
        <f>IF(Indice_index!$Z$1=1,"dezembro","December")</f>
        <v>December</v>
      </c>
      <c r="E182" s="172">
        <v>2.2000000000000002</v>
      </c>
      <c r="F182" s="172">
        <v>0</v>
      </c>
      <c r="G182" s="172">
        <v>1.4</v>
      </c>
      <c r="H182" s="172">
        <v>1.8</v>
      </c>
      <c r="I182" s="172">
        <v>8.8000000000000007</v>
      </c>
      <c r="K182" s="172">
        <v>-4.0999999999999996</v>
      </c>
      <c r="L182" s="172"/>
      <c r="M182" s="172"/>
      <c r="N182" s="172"/>
      <c r="O182" s="172"/>
      <c r="P182" s="172"/>
      <c r="AA182" s="171"/>
    </row>
    <row r="183" spans="3:27" s="230" customFormat="1" ht="11.25" hidden="1">
      <c r="C183" s="1200" t="s">
        <v>13</v>
      </c>
      <c r="D183" s="172"/>
      <c r="E183" s="172"/>
      <c r="F183" s="172"/>
      <c r="G183" s="172"/>
      <c r="H183" s="172"/>
      <c r="I183" s="172"/>
      <c r="K183" s="172"/>
      <c r="L183" s="172"/>
      <c r="M183" s="172"/>
      <c r="N183" s="172"/>
      <c r="O183" s="172"/>
      <c r="P183" s="172"/>
      <c r="AA183" s="171"/>
    </row>
    <row r="184" spans="3:27" s="230" customFormat="1" ht="11.25" hidden="1">
      <c r="C184" s="1204"/>
      <c r="D184" s="173" t="str">
        <f>IF(Indice_index!$Z$1=1,"janeiro","January")</f>
        <v>January</v>
      </c>
      <c r="E184" s="172">
        <v>2.2000000000000002</v>
      </c>
      <c r="F184" s="172">
        <v>0.1</v>
      </c>
      <c r="G184" s="172">
        <v>1.3</v>
      </c>
      <c r="H184" s="172">
        <v>1.8</v>
      </c>
      <c r="I184" s="172">
        <v>10.1</v>
      </c>
      <c r="K184" s="172">
        <v>-4.4000000000000004</v>
      </c>
      <c r="L184" s="172"/>
      <c r="M184" s="172"/>
      <c r="N184" s="172"/>
      <c r="O184" s="172"/>
      <c r="P184" s="172"/>
      <c r="AA184" s="171"/>
    </row>
    <row r="185" spans="3:27" s="230" customFormat="1" ht="11.25" hidden="1">
      <c r="C185" s="1204"/>
      <c r="D185" s="173" t="str">
        <f>IF(Indice_index!$Z$1=1,"fevereiro","February")</f>
        <v>February</v>
      </c>
      <c r="E185" s="172">
        <v>2.2000000000000002</v>
      </c>
      <c r="F185" s="172">
        <v>0</v>
      </c>
      <c r="G185" s="172">
        <v>1.3</v>
      </c>
      <c r="H185" s="172">
        <v>1.7</v>
      </c>
      <c r="I185" s="172">
        <v>-8</v>
      </c>
      <c r="K185" s="172">
        <v>-4.5</v>
      </c>
      <c r="L185" s="172"/>
      <c r="M185" s="172"/>
      <c r="N185" s="172"/>
      <c r="O185" s="172"/>
      <c r="P185" s="172"/>
      <c r="AA185" s="171"/>
    </row>
    <row r="186" spans="3:27" s="230" customFormat="1" ht="11.25" hidden="1">
      <c r="C186" s="1204"/>
      <c r="D186" s="173" t="str">
        <f>IF(Indice_index!$Z$1=1,"março","March")</f>
        <v>March</v>
      </c>
      <c r="E186" s="172">
        <v>2.1</v>
      </c>
      <c r="F186" s="172">
        <v>0</v>
      </c>
      <c r="G186" s="172">
        <v>1.5</v>
      </c>
      <c r="H186" s="172">
        <v>1.7</v>
      </c>
      <c r="I186" s="172">
        <v>-0.7</v>
      </c>
      <c r="K186" s="172">
        <v>-4.5999999999999996</v>
      </c>
      <c r="L186" s="172"/>
      <c r="M186" s="172"/>
      <c r="N186" s="172"/>
      <c r="O186" s="172"/>
      <c r="P186" s="172"/>
      <c r="AA186" s="171"/>
    </row>
    <row r="187" spans="3:27" s="230" customFormat="1" ht="11.25" hidden="1">
      <c r="C187" s="1204"/>
      <c r="D187" s="173" t="str">
        <f>IF(Indice_index!$Z$1=1,"abril","April")</f>
        <v>April</v>
      </c>
      <c r="E187" s="172">
        <v>2</v>
      </c>
      <c r="F187" s="172">
        <v>0.1</v>
      </c>
      <c r="G187" s="172">
        <v>1.6</v>
      </c>
      <c r="H187" s="172">
        <v>1.7</v>
      </c>
      <c r="I187" s="172">
        <v>-1.2</v>
      </c>
      <c r="K187" s="172">
        <v>-4.8</v>
      </c>
      <c r="L187" s="172"/>
      <c r="M187" s="172"/>
      <c r="N187" s="172"/>
      <c r="O187" s="172"/>
      <c r="P187" s="172"/>
      <c r="AA187" s="171"/>
    </row>
    <row r="188" spans="3:27" s="230" customFormat="1" ht="11.25" hidden="1">
      <c r="C188" s="1204"/>
      <c r="D188" s="173" t="str">
        <f>IF(Indice_index!$Z$1=1,"maio","May")</f>
        <v>May</v>
      </c>
      <c r="E188" s="172">
        <v>1.9</v>
      </c>
      <c r="F188" s="172">
        <v>0.1</v>
      </c>
      <c r="G188" s="172">
        <v>1.6</v>
      </c>
      <c r="H188" s="172">
        <v>1.6</v>
      </c>
      <c r="I188" s="172">
        <v>-0.9</v>
      </c>
      <c r="K188" s="172">
        <v>-4.9000000000000004</v>
      </c>
      <c r="L188" s="172"/>
      <c r="M188" s="172"/>
      <c r="N188" s="172"/>
      <c r="O188" s="172"/>
      <c r="P188" s="172"/>
      <c r="AA188" s="171"/>
    </row>
    <row r="189" spans="3:27" s="230" customFormat="1" ht="11.25" hidden="1">
      <c r="C189" s="1204"/>
      <c r="D189" s="173" t="str">
        <f>IF(Indice_index!$Z$1=1,"junho","June")</f>
        <v>June</v>
      </c>
      <c r="E189" s="172">
        <v>2</v>
      </c>
      <c r="F189" s="172">
        <v>-0.2</v>
      </c>
      <c r="G189" s="172">
        <v>1.6</v>
      </c>
      <c r="H189" s="172">
        <v>1.6</v>
      </c>
      <c r="I189" s="172">
        <v>-0.9</v>
      </c>
      <c r="K189" s="172">
        <v>-5</v>
      </c>
      <c r="L189" s="172"/>
      <c r="M189" s="172"/>
      <c r="N189" s="172"/>
      <c r="O189" s="172"/>
      <c r="P189" s="172"/>
      <c r="AA189" s="171"/>
    </row>
    <row r="190" spans="3:27" s="230" customFormat="1" ht="11.25" hidden="1">
      <c r="C190" s="1204"/>
      <c r="D190" s="173" t="str">
        <f>IF(Indice_index!$Z$1=1,"julho","July")</f>
        <v>July</v>
      </c>
      <c r="E190" s="172">
        <v>2.1480540184017052</v>
      </c>
      <c r="F190" s="172">
        <v>-0.32109970013003208</v>
      </c>
      <c r="G190" s="172">
        <v>10.527022064016725</v>
      </c>
      <c r="H190" s="172">
        <v>3.7888244605378629</v>
      </c>
      <c r="I190" s="172">
        <v>48.076394613904931</v>
      </c>
      <c r="K190" s="172">
        <v>-5.1713744898311784</v>
      </c>
      <c r="L190" s="172"/>
      <c r="M190" s="172"/>
      <c r="N190" s="172"/>
      <c r="O190" s="172"/>
      <c r="P190" s="172"/>
      <c r="AA190" s="171"/>
    </row>
    <row r="191" spans="3:27" s="230" customFormat="1" ht="11.25" hidden="1">
      <c r="C191" s="1204"/>
      <c r="D191" s="173" t="str">
        <f>IF(Indice_index!$Z$1=1,"agosto","August")</f>
        <v>August</v>
      </c>
      <c r="E191" s="172">
        <v>2.6</v>
      </c>
      <c r="F191" s="172">
        <v>-0.1</v>
      </c>
      <c r="G191" s="172">
        <v>10.5</v>
      </c>
      <c r="H191" s="172">
        <v>4.0999999999999996</v>
      </c>
      <c r="I191" s="172">
        <v>1.3</v>
      </c>
      <c r="K191" s="172">
        <v>-5.0999999999999996</v>
      </c>
      <c r="L191" s="172"/>
      <c r="M191" s="172"/>
      <c r="N191" s="172"/>
      <c r="O191" s="172"/>
      <c r="P191" s="172"/>
      <c r="AA191" s="171"/>
    </row>
    <row r="192" spans="3:27" s="230" customFormat="1" ht="11.25" hidden="1">
      <c r="C192" s="1204"/>
      <c r="D192" s="173" t="str">
        <f>IF(Indice_index!$Z$1=1,"setembro","September")</f>
        <v>September</v>
      </c>
      <c r="E192" s="172">
        <v>3</v>
      </c>
      <c r="F192" s="172">
        <v>0.1</v>
      </c>
      <c r="G192" s="172">
        <v>10.5</v>
      </c>
      <c r="H192" s="172">
        <v>4.4000000000000004</v>
      </c>
      <c r="I192" s="172">
        <v>-2.2999999999999998</v>
      </c>
      <c r="K192" s="172">
        <v>-5</v>
      </c>
      <c r="L192" s="172"/>
      <c r="M192" s="172"/>
      <c r="N192" s="172"/>
      <c r="O192" s="172"/>
      <c r="P192" s="172"/>
      <c r="AA192" s="171"/>
    </row>
    <row r="193" spans="3:27" s="230" customFormat="1" ht="11.25" hidden="1">
      <c r="C193" s="1204"/>
      <c r="D193" s="173" t="str">
        <f>IF(Indice_index!$Z$1=1,"outubro","October")</f>
        <v>October</v>
      </c>
      <c r="E193" s="172">
        <v>3.2</v>
      </c>
      <c r="F193" s="172">
        <v>0.1</v>
      </c>
      <c r="G193" s="172">
        <v>10.6</v>
      </c>
      <c r="H193" s="172">
        <v>4.5</v>
      </c>
      <c r="I193" s="172">
        <v>-3.4</v>
      </c>
      <c r="K193" s="172">
        <v>-5</v>
      </c>
      <c r="L193" s="172"/>
      <c r="M193" s="172"/>
      <c r="N193" s="172"/>
      <c r="O193" s="172"/>
      <c r="P193" s="172"/>
      <c r="AA193" s="171"/>
    </row>
    <row r="194" spans="3:27" s="230" customFormat="1" ht="11.25" hidden="1">
      <c r="C194" s="1204"/>
      <c r="D194" s="173" t="str">
        <f>IF(Indice_index!$Z$1=1,"novembro","November")</f>
        <v>November</v>
      </c>
      <c r="E194" s="172">
        <v>3.1</v>
      </c>
      <c r="F194" s="172">
        <v>-0.2</v>
      </c>
      <c r="G194" s="172">
        <v>10.4</v>
      </c>
      <c r="H194" s="172">
        <v>4.4000000000000004</v>
      </c>
      <c r="I194" s="172">
        <v>-41.2</v>
      </c>
      <c r="K194" s="172">
        <v>-5</v>
      </c>
      <c r="L194" s="172"/>
      <c r="M194" s="172"/>
      <c r="N194" s="172"/>
      <c r="O194" s="172"/>
      <c r="P194" s="172"/>
      <c r="AA194" s="171"/>
    </row>
    <row r="195" spans="3:27" s="230" customFormat="1" ht="11.25" hidden="1">
      <c r="C195" s="1204"/>
      <c r="D195" s="173" t="str">
        <f>IF(Indice_index!$Z$1=1,"dezembro","December")</f>
        <v>December</v>
      </c>
      <c r="E195" s="172">
        <v>3</v>
      </c>
      <c r="F195" s="172">
        <v>-0.2</v>
      </c>
      <c r="G195" s="172">
        <v>10.199999999999999</v>
      </c>
      <c r="H195" s="172">
        <v>4.2</v>
      </c>
      <c r="I195" s="172">
        <v>0.7</v>
      </c>
      <c r="K195" s="172">
        <v>-5</v>
      </c>
      <c r="L195" s="172"/>
      <c r="M195" s="172"/>
      <c r="N195" s="172"/>
      <c r="O195" s="172"/>
      <c r="P195" s="172"/>
      <c r="AA195" s="171"/>
    </row>
    <row r="196" spans="3:27" s="230" customFormat="1" ht="11.25" hidden="1">
      <c r="C196" s="1200" t="s">
        <v>14</v>
      </c>
      <c r="D196" s="172"/>
      <c r="E196" s="172"/>
      <c r="F196" s="172"/>
      <c r="G196" s="172"/>
      <c r="H196" s="172"/>
      <c r="I196" s="172"/>
      <c r="K196" s="172"/>
      <c r="L196" s="172"/>
      <c r="M196" s="172"/>
      <c r="N196" s="172"/>
      <c r="O196" s="172"/>
      <c r="P196" s="172"/>
      <c r="AA196" s="171"/>
    </row>
    <row r="197" spans="3:27" s="230" customFormat="1" ht="11.25" hidden="1">
      <c r="C197" s="1204"/>
      <c r="D197" s="173" t="str">
        <f>IF(Indice_index!$Z$1=1,"janeiro","January")</f>
        <v>January</v>
      </c>
      <c r="E197" s="172">
        <v>3</v>
      </c>
      <c r="F197" s="172">
        <v>-0.4</v>
      </c>
      <c r="G197" s="172">
        <v>10.1</v>
      </c>
      <c r="H197" s="172">
        <v>4.2</v>
      </c>
      <c r="I197" s="172">
        <v>-1.9</v>
      </c>
      <c r="K197" s="172">
        <v>-4.7</v>
      </c>
      <c r="L197" s="172"/>
      <c r="N197" s="172"/>
      <c r="O197" s="172"/>
      <c r="P197" s="172"/>
      <c r="AA197" s="171"/>
    </row>
    <row r="198" spans="3:27" s="230" customFormat="1" ht="11.25" hidden="1">
      <c r="C198" s="1204"/>
      <c r="D198" s="173" t="str">
        <f>IF(Indice_index!$Z$1=1,"fevereiro","February")</f>
        <v>February</v>
      </c>
      <c r="E198" s="172">
        <v>3.1</v>
      </c>
      <c r="F198" s="172">
        <v>-0.5</v>
      </c>
      <c r="G198" s="172">
        <v>9.9</v>
      </c>
      <c r="H198" s="172">
        <v>4.2</v>
      </c>
      <c r="I198" s="172">
        <v>-1.2</v>
      </c>
      <c r="K198" s="172">
        <v>-4.5</v>
      </c>
      <c r="L198" s="172"/>
      <c r="M198" s="172"/>
      <c r="N198" s="172"/>
      <c r="O198" s="172"/>
      <c r="P198" s="172"/>
      <c r="AA198" s="171"/>
    </row>
    <row r="199" spans="3:27" s="230" customFormat="1" ht="11.25" hidden="1">
      <c r="C199" s="1204"/>
      <c r="D199" s="173" t="str">
        <f>IF(Indice_index!$Z$1=1,"março","March")</f>
        <v>March</v>
      </c>
      <c r="E199" s="172">
        <v>3.1</v>
      </c>
      <c r="F199" s="172">
        <v>-0.6</v>
      </c>
      <c r="G199" s="172">
        <v>9.6999999999999993</v>
      </c>
      <c r="H199" s="172">
        <v>4.2</v>
      </c>
      <c r="I199" s="172">
        <v>-1.2</v>
      </c>
      <c r="K199" s="172">
        <v>-4.2</v>
      </c>
      <c r="L199" s="172"/>
      <c r="M199" s="172"/>
      <c r="N199" s="172"/>
      <c r="O199" s="172"/>
      <c r="P199" s="172"/>
      <c r="AA199" s="171"/>
    </row>
    <row r="200" spans="3:27" s="230" customFormat="1" ht="11.25" hidden="1">
      <c r="C200" s="1204"/>
      <c r="D200" s="173" t="str">
        <f>IF(Indice_index!$Z$1=1,"abril","April")</f>
        <v>April</v>
      </c>
      <c r="E200" s="172">
        <v>3</v>
      </c>
      <c r="F200" s="172">
        <v>-0.8</v>
      </c>
      <c r="G200" s="172">
        <v>9.6</v>
      </c>
      <c r="H200" s="172">
        <v>4.0999999999999996</v>
      </c>
      <c r="I200" s="172">
        <v>-1</v>
      </c>
      <c r="K200" s="172">
        <v>-4</v>
      </c>
      <c r="L200" s="172"/>
      <c r="M200" s="172"/>
      <c r="N200" s="172"/>
      <c r="O200" s="172"/>
      <c r="P200" s="172"/>
      <c r="AA200" s="171"/>
    </row>
    <row r="201" spans="3:27" s="230" customFormat="1" ht="11.25" hidden="1">
      <c r="C201" s="1204"/>
      <c r="D201" s="173" t="str">
        <f>IF(Indice_index!$Z$1=1,"maio","May")</f>
        <v>May</v>
      </c>
      <c r="E201" s="172">
        <v>2.9</v>
      </c>
      <c r="F201" s="172">
        <v>-0.9</v>
      </c>
      <c r="G201" s="172">
        <v>10.7</v>
      </c>
      <c r="H201" s="172">
        <v>4.3</v>
      </c>
      <c r="I201" s="172">
        <v>-1</v>
      </c>
      <c r="K201" s="172">
        <v>-3.7</v>
      </c>
      <c r="L201" s="172"/>
      <c r="M201" s="172"/>
      <c r="N201" s="172"/>
      <c r="O201" s="172"/>
      <c r="P201" s="172"/>
      <c r="AA201" s="171"/>
    </row>
    <row r="202" spans="3:27" s="230" customFormat="1" ht="11.25" hidden="1">
      <c r="C202" s="1204"/>
      <c r="D202" s="173" t="str">
        <f>IF(Indice_index!$Z$1=1,"junho","June")</f>
        <v>June</v>
      </c>
      <c r="E202" s="172">
        <v>2.9</v>
      </c>
      <c r="F202" s="172">
        <v>-0.8</v>
      </c>
      <c r="G202" s="172">
        <v>10.6</v>
      </c>
      <c r="H202" s="172">
        <v>4.2</v>
      </c>
      <c r="I202" s="172">
        <v>-1.3</v>
      </c>
      <c r="K202" s="172">
        <v>-3.4</v>
      </c>
      <c r="L202" s="172"/>
      <c r="M202" s="172"/>
      <c r="N202" s="172"/>
      <c r="O202" s="172"/>
      <c r="P202" s="172"/>
      <c r="AA202" s="171"/>
    </row>
    <row r="203" spans="3:27" s="230" customFormat="1" ht="11.25" hidden="1">
      <c r="C203" s="1204"/>
      <c r="D203" s="173" t="str">
        <f>IF(Indice_index!$Z$1=1,"julho","July")</f>
        <v>July</v>
      </c>
      <c r="E203" s="172">
        <v>2.6</v>
      </c>
      <c r="F203" s="172">
        <v>-0.8</v>
      </c>
      <c r="G203" s="172">
        <v>1.8</v>
      </c>
      <c r="H203" s="172">
        <v>2</v>
      </c>
      <c r="I203" s="172">
        <v>0.2</v>
      </c>
      <c r="K203" s="172">
        <v>-3.1</v>
      </c>
      <c r="L203" s="172"/>
      <c r="M203" s="172"/>
      <c r="N203" s="172"/>
      <c r="O203" s="172"/>
      <c r="P203" s="172"/>
      <c r="AA203" s="171"/>
    </row>
    <row r="204" spans="3:27" s="230" customFormat="1" ht="11.25" hidden="1">
      <c r="C204" s="1204"/>
      <c r="D204" s="173" t="str">
        <f>IF(Indice_index!$Z$1=1,"agosto","August")</f>
        <v>August</v>
      </c>
      <c r="E204" s="172">
        <v>2.2000000000000002</v>
      </c>
      <c r="F204" s="172">
        <v>-0.9</v>
      </c>
      <c r="G204" s="172">
        <v>1.8</v>
      </c>
      <c r="H204" s="172">
        <v>1.7</v>
      </c>
      <c r="I204" s="172">
        <v>-3.6</v>
      </c>
      <c r="K204" s="172">
        <v>-3</v>
      </c>
      <c r="L204" s="172"/>
      <c r="M204" s="172"/>
      <c r="N204" s="172"/>
      <c r="O204" s="172"/>
      <c r="P204" s="172"/>
      <c r="AA204" s="171"/>
    </row>
    <row r="205" spans="3:27" s="230" customFormat="1" ht="11.25" hidden="1">
      <c r="C205" s="1204"/>
      <c r="D205" s="173" t="str">
        <f>IF(Indice_index!$Z$1=1,"setembro","September")</f>
        <v>September</v>
      </c>
      <c r="E205" s="172">
        <v>1.8</v>
      </c>
      <c r="F205" s="172">
        <v>-1.1000000000000001</v>
      </c>
      <c r="G205" s="172">
        <v>1.9</v>
      </c>
      <c r="H205" s="172">
        <v>1.5</v>
      </c>
      <c r="I205" s="172">
        <v>0.1</v>
      </c>
      <c r="K205" s="172">
        <v>-2.6</v>
      </c>
      <c r="L205" s="172"/>
      <c r="M205" s="172"/>
      <c r="N205" s="172"/>
      <c r="O205" s="172"/>
      <c r="P205" s="172"/>
      <c r="AA205" s="171"/>
    </row>
    <row r="206" spans="3:27" s="230" customFormat="1" ht="11.25" hidden="1">
      <c r="C206" s="1204"/>
      <c r="D206" s="173" t="str">
        <f>IF(Indice_index!$Z$1=1,"outubro","October")</f>
        <v>October</v>
      </c>
      <c r="E206" s="172">
        <v>1.5</v>
      </c>
      <c r="F206" s="172">
        <v>-1</v>
      </c>
      <c r="G206" s="172">
        <v>1.7</v>
      </c>
      <c r="H206" s="172">
        <v>1.3</v>
      </c>
      <c r="I206" s="172">
        <v>0.1</v>
      </c>
      <c r="K206" s="172">
        <v>-2.5</v>
      </c>
      <c r="L206" s="172"/>
      <c r="M206" s="172"/>
      <c r="N206" s="172"/>
      <c r="O206" s="172"/>
      <c r="P206" s="172"/>
      <c r="AA206" s="171"/>
    </row>
    <row r="207" spans="3:27" s="230" customFormat="1" ht="11.25" hidden="1">
      <c r="C207" s="1204"/>
      <c r="D207" s="173" t="str">
        <f>IF(Indice_index!$Z$1=1,"novembro","November")</f>
        <v>November</v>
      </c>
      <c r="E207" s="172">
        <v>1.3</v>
      </c>
      <c r="F207" s="172">
        <v>-1</v>
      </c>
      <c r="G207" s="172">
        <v>1.7</v>
      </c>
      <c r="H207" s="172">
        <v>1.1000000000000001</v>
      </c>
      <c r="I207" s="172">
        <v>-0.4</v>
      </c>
      <c r="K207" s="172">
        <v>-2.2999999999999998</v>
      </c>
      <c r="L207" s="172"/>
      <c r="M207" s="172"/>
      <c r="N207" s="172"/>
      <c r="O207" s="172"/>
      <c r="P207" s="172"/>
      <c r="AA207" s="171"/>
    </row>
    <row r="208" spans="3:27" s="230" customFormat="1" ht="11.25" hidden="1">
      <c r="C208" s="1204"/>
      <c r="D208" s="173" t="str">
        <f>IF(Indice_index!$Z$1=1,"dezembro","December")</f>
        <v>December</v>
      </c>
      <c r="E208" s="172">
        <v>1</v>
      </c>
      <c r="F208" s="172">
        <v>-0.9</v>
      </c>
      <c r="G208" s="172">
        <v>1.7</v>
      </c>
      <c r="H208" s="172">
        <v>1</v>
      </c>
      <c r="I208" s="172">
        <v>-6.6</v>
      </c>
      <c r="K208" s="172">
        <v>-2.2999999999999998</v>
      </c>
      <c r="L208" s="172"/>
      <c r="M208" s="172"/>
      <c r="N208" s="172"/>
      <c r="O208" s="172"/>
      <c r="P208" s="172"/>
      <c r="AA208" s="171"/>
    </row>
    <row r="209" spans="3:27" s="230" customFormat="1" ht="11.25" hidden="1">
      <c r="C209" s="1203">
        <v>2016</v>
      </c>
      <c r="D209" s="172"/>
      <c r="E209" s="172"/>
      <c r="F209" s="172"/>
      <c r="G209" s="172"/>
      <c r="H209" s="172"/>
      <c r="I209" s="172"/>
      <c r="K209" s="172"/>
      <c r="L209" s="172"/>
      <c r="M209" s="172"/>
      <c r="N209" s="172"/>
      <c r="O209" s="172"/>
      <c r="P209" s="172"/>
      <c r="AA209" s="171"/>
    </row>
    <row r="210" spans="3:27" s="230" customFormat="1" ht="11.25" hidden="1">
      <c r="C210" s="1204"/>
      <c r="D210" s="173" t="str">
        <f>IF(Indice_index!$Z$1=1,"janeiro","January")</f>
        <v>January</v>
      </c>
      <c r="E210" s="172">
        <v>0.7</v>
      </c>
      <c r="F210" s="172">
        <v>-0.9</v>
      </c>
      <c r="G210" s="172">
        <v>1.6</v>
      </c>
      <c r="H210" s="172">
        <v>0.8</v>
      </c>
      <c r="I210" s="172">
        <v>0.2</v>
      </c>
      <c r="K210" s="172">
        <v>-2.2000000000000002</v>
      </c>
      <c r="L210" s="172"/>
      <c r="M210" s="172"/>
      <c r="N210" s="172"/>
      <c r="O210" s="172"/>
      <c r="P210" s="172"/>
      <c r="AA210" s="171"/>
    </row>
    <row r="211" spans="3:27" s="230" customFormat="1" ht="11.25" hidden="1">
      <c r="C211" s="1204"/>
      <c r="D211" s="173" t="str">
        <f>IF(Indice_index!$Z$1=1,"fevereiro","February")</f>
        <v>February</v>
      </c>
      <c r="E211" s="172">
        <v>0.5</v>
      </c>
      <c r="F211" s="172">
        <v>-0.9</v>
      </c>
      <c r="G211" s="172">
        <v>1.7</v>
      </c>
      <c r="H211" s="172">
        <v>0.6</v>
      </c>
      <c r="I211" s="172">
        <v>2.5</v>
      </c>
      <c r="K211" s="172">
        <v>-2.2000000000000002</v>
      </c>
      <c r="L211" s="172"/>
      <c r="M211" s="172"/>
      <c r="N211" s="172"/>
      <c r="O211" s="172"/>
      <c r="P211" s="172"/>
      <c r="AA211" s="171"/>
    </row>
    <row r="212" spans="3:27" s="230" customFormat="1" ht="11.25" hidden="1">
      <c r="C212" s="1204"/>
      <c r="D212" s="173" t="str">
        <f>IF(Indice_index!$Z$1=1,"março","March")</f>
        <v>March</v>
      </c>
      <c r="E212" s="172">
        <v>0.3</v>
      </c>
      <c r="F212" s="172">
        <v>-0.8</v>
      </c>
      <c r="G212" s="172">
        <v>1.8</v>
      </c>
      <c r="H212" s="172">
        <v>0.5</v>
      </c>
      <c r="I212" s="172">
        <v>-0.3</v>
      </c>
      <c r="K212" s="172">
        <v>-2.2000000000000002</v>
      </c>
      <c r="L212" s="172"/>
      <c r="M212" s="172"/>
      <c r="N212" s="172"/>
      <c r="O212" s="172"/>
      <c r="P212" s="172"/>
      <c r="AA212" s="171"/>
    </row>
    <row r="213" spans="3:27" s="230" customFormat="1" ht="11.25" hidden="1">
      <c r="C213" s="1204"/>
      <c r="D213" s="173" t="str">
        <f>IF(Indice_index!$Z$1=1,"abril","April")</f>
        <v>April</v>
      </c>
      <c r="E213" s="172">
        <v>0.1</v>
      </c>
      <c r="F213" s="172">
        <v>-0.8</v>
      </c>
      <c r="G213" s="172">
        <v>1.7</v>
      </c>
      <c r="H213" s="172">
        <v>0.4</v>
      </c>
      <c r="I213" s="172">
        <v>-0.1</v>
      </c>
      <c r="K213" s="172">
        <v>-2.1</v>
      </c>
      <c r="L213" s="172"/>
      <c r="M213" s="172"/>
      <c r="N213" s="172"/>
      <c r="O213" s="172"/>
      <c r="P213" s="172"/>
      <c r="AA213" s="171"/>
    </row>
    <row r="214" spans="3:27" s="230" customFormat="1" ht="11.25" hidden="1">
      <c r="C214" s="1204"/>
      <c r="D214" s="173" t="str">
        <f>IF(Indice_index!$Z$1=1,"maio","May")</f>
        <v>May</v>
      </c>
      <c r="E214" s="172">
        <v>-0.1</v>
      </c>
      <c r="F214" s="172">
        <v>-0.8</v>
      </c>
      <c r="G214" s="172">
        <v>0.5</v>
      </c>
      <c r="H214" s="172">
        <v>0</v>
      </c>
      <c r="I214" s="172">
        <v>-0.3</v>
      </c>
      <c r="K214" s="172">
        <v>-2.2000000000000002</v>
      </c>
      <c r="L214" s="172"/>
      <c r="M214" s="172"/>
      <c r="N214" s="172"/>
      <c r="O214" s="172"/>
      <c r="P214" s="172"/>
      <c r="AA214" s="171"/>
    </row>
    <row r="215" spans="3:27" s="230" customFormat="1" ht="11.25" hidden="1">
      <c r="C215" s="1204"/>
      <c r="D215" s="173" t="str">
        <f>IF(Indice_index!$Z$1=1,"junho","June")</f>
        <v>June</v>
      </c>
      <c r="E215" s="172">
        <v>-0.3</v>
      </c>
      <c r="F215" s="172">
        <v>-0.9</v>
      </c>
      <c r="G215" s="172">
        <v>0.5</v>
      </c>
      <c r="H215" s="172">
        <v>-0.1</v>
      </c>
      <c r="I215" s="172">
        <v>1.5</v>
      </c>
      <c r="K215" s="172">
        <v>-2.2000000000000002</v>
      </c>
      <c r="L215" s="172"/>
      <c r="M215" s="172"/>
      <c r="N215" s="172"/>
      <c r="O215" s="172"/>
      <c r="P215" s="172"/>
      <c r="AA215" s="171"/>
    </row>
    <row r="216" spans="3:27" s="230" customFormat="1" ht="11.25" hidden="1">
      <c r="C216" s="1204"/>
      <c r="D216" s="173" t="str">
        <f>IF(Indice_index!$Z$1=1,"julho","July")</f>
        <v>July</v>
      </c>
      <c r="E216" s="172">
        <v>-0.3</v>
      </c>
      <c r="F216" s="172">
        <v>-0.9</v>
      </c>
      <c r="G216" s="172">
        <v>0.4</v>
      </c>
      <c r="H216" s="172">
        <v>-0.2</v>
      </c>
      <c r="I216" s="172">
        <v>1.3</v>
      </c>
      <c r="K216" s="172">
        <v>-2.1</v>
      </c>
      <c r="L216" s="172"/>
      <c r="M216" s="172"/>
      <c r="N216" s="172"/>
      <c r="O216" s="172"/>
      <c r="P216" s="172"/>
      <c r="AA216" s="171"/>
    </row>
    <row r="217" spans="3:27" s="230" customFormat="1" ht="11.25" hidden="1">
      <c r="C217" s="1204"/>
      <c r="D217" s="173" t="str">
        <f>IF(Indice_index!$Z$1=1,"agosto","August")</f>
        <v>August</v>
      </c>
      <c r="E217" s="172">
        <v>-0.5</v>
      </c>
      <c r="F217" s="172">
        <v>-0.9</v>
      </c>
      <c r="G217" s="172">
        <v>0.3</v>
      </c>
      <c r="H217" s="172">
        <v>-0.3</v>
      </c>
      <c r="I217" s="172">
        <v>2.4</v>
      </c>
      <c r="K217" s="172">
        <v>-2.1</v>
      </c>
      <c r="L217" s="172"/>
      <c r="M217" s="172"/>
      <c r="N217" s="172"/>
      <c r="O217" s="172"/>
      <c r="P217" s="172"/>
      <c r="AA217" s="171"/>
    </row>
    <row r="218" spans="3:27" s="230" customFormat="1" ht="11.25" hidden="1">
      <c r="C218" s="1204"/>
      <c r="D218" s="173" t="str">
        <f>IF(Indice_index!$Z$1=1,"setembro","September")</f>
        <v>September</v>
      </c>
      <c r="E218" s="172">
        <v>-0.6</v>
      </c>
      <c r="F218" s="172">
        <v>-0.9</v>
      </c>
      <c r="G218" s="172">
        <v>0.2</v>
      </c>
      <c r="H218" s="172">
        <v>-0.4</v>
      </c>
      <c r="I218" s="172">
        <v>1.7</v>
      </c>
      <c r="K218" s="172">
        <v>-2</v>
      </c>
      <c r="L218" s="172"/>
      <c r="M218" s="172"/>
      <c r="N218" s="172"/>
      <c r="O218" s="172"/>
      <c r="P218" s="172"/>
      <c r="AA218" s="171"/>
    </row>
    <row r="219" spans="3:27" s="230" customFormat="1" ht="11.25" hidden="1">
      <c r="C219" s="1204"/>
      <c r="D219" s="173" t="str">
        <f>IF(Indice_index!$Z$1=1,"outubro","October")</f>
        <v>October</v>
      </c>
      <c r="E219" s="172">
        <v>-0.7</v>
      </c>
      <c r="F219" s="172">
        <v>-0.9</v>
      </c>
      <c r="G219" s="172">
        <v>0.2</v>
      </c>
      <c r="H219" s="172">
        <v>-0.5</v>
      </c>
      <c r="I219" s="172">
        <v>1.7</v>
      </c>
      <c r="K219" s="172">
        <v>-2</v>
      </c>
      <c r="L219" s="172"/>
      <c r="M219" s="172"/>
      <c r="N219" s="172"/>
      <c r="O219" s="172"/>
      <c r="P219" s="172"/>
      <c r="AA219" s="171"/>
    </row>
    <row r="220" spans="3:27" s="230" customFormat="1" ht="11.25" hidden="1">
      <c r="C220" s="1204"/>
      <c r="D220" s="173" t="str">
        <f>IF(Indice_index!$Z$1=1,"novembro","November")</f>
        <v>November</v>
      </c>
      <c r="E220" s="172">
        <v>-0.7</v>
      </c>
      <c r="F220" s="172">
        <v>-0.9</v>
      </c>
      <c r="G220" s="172">
        <v>0.1</v>
      </c>
      <c r="H220" s="172">
        <v>-0.5</v>
      </c>
      <c r="I220" s="172">
        <v>1.9</v>
      </c>
      <c r="K220" s="172">
        <v>-2</v>
      </c>
      <c r="L220" s="172"/>
      <c r="M220" s="172"/>
      <c r="N220" s="172"/>
      <c r="O220" s="172"/>
      <c r="P220" s="172"/>
      <c r="AA220" s="171"/>
    </row>
    <row r="221" spans="3:27" s="230" customFormat="1" ht="11.25" hidden="1">
      <c r="C221" s="1204"/>
      <c r="D221" s="173" t="str">
        <f>IF(Indice_index!$Z$1=1,"dezembro","December")</f>
        <v>December</v>
      </c>
      <c r="E221" s="172">
        <v>-0.7</v>
      </c>
      <c r="F221" s="172">
        <v>-1</v>
      </c>
      <c r="G221" s="172">
        <v>0.1</v>
      </c>
      <c r="H221" s="172">
        <v>-0.6</v>
      </c>
      <c r="I221" s="172">
        <v>4.5999999999999996</v>
      </c>
      <c r="K221" s="172">
        <v>-2</v>
      </c>
      <c r="L221" s="172"/>
      <c r="M221" s="172"/>
      <c r="N221" s="172"/>
      <c r="O221" s="172"/>
      <c r="P221" s="172"/>
      <c r="AA221" s="171"/>
    </row>
    <row r="222" spans="3:27" s="230" customFormat="1" ht="11.25" hidden="1">
      <c r="C222" s="1203">
        <v>2017</v>
      </c>
      <c r="D222" s="172"/>
      <c r="E222" s="172"/>
      <c r="F222" s="172"/>
      <c r="G222" s="172"/>
      <c r="H222" s="172"/>
      <c r="I222" s="172"/>
      <c r="K222" s="172"/>
      <c r="L222" s="172"/>
      <c r="M222" s="172"/>
      <c r="N222" s="172"/>
      <c r="O222" s="172"/>
      <c r="P222" s="172"/>
      <c r="AA222" s="171"/>
    </row>
    <row r="223" spans="3:27" s="172" customFormat="1" ht="11.25" hidden="1">
      <c r="C223" s="1249"/>
      <c r="D223" s="173" t="str">
        <f>IF(Indice_index!$Z$1=1,"janeiro","January")</f>
        <v>January</v>
      </c>
      <c r="E223" s="172">
        <v>-0.7</v>
      </c>
      <c r="F223" s="172">
        <v>-1</v>
      </c>
      <c r="G223" s="172">
        <v>0.1</v>
      </c>
      <c r="H223" s="172">
        <v>-0.5</v>
      </c>
      <c r="I223" s="172">
        <v>-2</v>
      </c>
      <c r="K223" s="172">
        <v>-2.1</v>
      </c>
      <c r="M223" s="230"/>
      <c r="Q223" s="230"/>
      <c r="R223" s="230"/>
      <c r="S223" s="230"/>
      <c r="AA223" s="173"/>
    </row>
    <row r="224" spans="3:27" s="172" customFormat="1" ht="11.25" hidden="1">
      <c r="C224" s="1249"/>
      <c r="D224" s="173" t="str">
        <f>IF(Indice_index!$Z$1=1,"fevereiro","February")</f>
        <v>February</v>
      </c>
      <c r="E224" s="172">
        <v>-0.8</v>
      </c>
      <c r="F224" s="172">
        <v>-1</v>
      </c>
      <c r="G224" s="172">
        <v>0.1</v>
      </c>
      <c r="H224" s="172">
        <v>-0.6</v>
      </c>
      <c r="I224" s="172">
        <v>-4.7</v>
      </c>
      <c r="K224" s="172">
        <v>-2.1</v>
      </c>
      <c r="AA224" s="173"/>
    </row>
    <row r="225" spans="3:27" s="230" customFormat="1" ht="11.25" hidden="1">
      <c r="C225" s="1203"/>
      <c r="D225" s="173" t="str">
        <f>IF(Indice_index!$Z$1=1,"março","March")</f>
        <v>March</v>
      </c>
      <c r="E225" s="172">
        <v>-0.9</v>
      </c>
      <c r="F225" s="172">
        <v>-1.1000000000000001</v>
      </c>
      <c r="G225" s="172">
        <v>0.1</v>
      </c>
      <c r="H225" s="172">
        <v>-0.7</v>
      </c>
      <c r="I225" s="172">
        <v>-1</v>
      </c>
      <c r="K225" s="172">
        <v>-2</v>
      </c>
      <c r="L225" s="172"/>
      <c r="M225" s="172"/>
      <c r="N225" s="172"/>
      <c r="O225" s="172"/>
      <c r="P225" s="172"/>
      <c r="AA225" s="171"/>
    </row>
    <row r="226" spans="3:27" s="230" customFormat="1" ht="11.25" hidden="1">
      <c r="C226" s="1203"/>
      <c r="D226" s="173" t="str">
        <f>IF(Indice_index!$Z$1=1,"abril","April")</f>
        <v>April</v>
      </c>
      <c r="E226" s="172">
        <v>-1</v>
      </c>
      <c r="F226" s="172">
        <v>-1.1000000000000001</v>
      </c>
      <c r="G226" s="172">
        <v>0.1</v>
      </c>
      <c r="H226" s="172">
        <v>-0.7</v>
      </c>
      <c r="I226" s="172">
        <v>-2</v>
      </c>
      <c r="K226" s="172">
        <v>-2</v>
      </c>
      <c r="L226" s="172"/>
      <c r="M226" s="172"/>
      <c r="N226" s="172"/>
      <c r="O226" s="172"/>
      <c r="P226" s="172"/>
      <c r="AA226" s="171"/>
    </row>
    <row r="227" spans="3:27" s="230" customFormat="1" ht="11.25" hidden="1">
      <c r="C227" s="1203"/>
      <c r="D227" s="173" t="str">
        <f>IF(Indice_index!$Z$1=1,"maio","May")</f>
        <v>May</v>
      </c>
      <c r="E227" s="172">
        <v>-0.9</v>
      </c>
      <c r="F227" s="172">
        <v>-1.1000000000000001</v>
      </c>
      <c r="G227" s="172">
        <v>0.1</v>
      </c>
      <c r="H227" s="172">
        <v>-0.6</v>
      </c>
      <c r="I227" s="172">
        <v>-1.8</v>
      </c>
      <c r="K227" s="172">
        <v>-2</v>
      </c>
      <c r="L227" s="172"/>
      <c r="M227" s="172"/>
      <c r="N227" s="172"/>
      <c r="O227" s="172"/>
      <c r="P227" s="172"/>
      <c r="AA227" s="171"/>
    </row>
    <row r="228" spans="3:27" s="230" customFormat="1" ht="11.25" hidden="1">
      <c r="C228" s="1203"/>
      <c r="D228" s="173" t="str">
        <f>IF(Indice_index!$Z$1=1,"junho","June")</f>
        <v>June</v>
      </c>
      <c r="E228" s="172">
        <v>-0.8</v>
      </c>
      <c r="F228" s="172">
        <v>-1.1000000000000001</v>
      </c>
      <c r="G228" s="172">
        <v>0.1</v>
      </c>
      <c r="H228" s="172">
        <v>-0.6</v>
      </c>
      <c r="I228" s="172">
        <v>-3.4</v>
      </c>
      <c r="K228" s="172">
        <v>-2.1</v>
      </c>
      <c r="L228" s="172"/>
      <c r="M228" s="172"/>
      <c r="N228" s="172"/>
      <c r="O228" s="172"/>
      <c r="P228" s="172"/>
      <c r="AA228" s="171"/>
    </row>
    <row r="229" spans="3:27" s="230" customFormat="1" ht="11.25" hidden="1">
      <c r="C229" s="1203"/>
      <c r="D229" s="173" t="str">
        <f>IF(Indice_index!$Z$1=1,"julho","July")</f>
        <v>July</v>
      </c>
      <c r="E229" s="172">
        <v>-0.5</v>
      </c>
      <c r="F229" s="172">
        <v>-1.1000000000000001</v>
      </c>
      <c r="G229" s="172">
        <v>0.1</v>
      </c>
      <c r="H229" s="172">
        <v>-0.4</v>
      </c>
      <c r="I229" s="172">
        <v>-1.5</v>
      </c>
      <c r="K229" s="172">
        <v>-2.2000000000000002</v>
      </c>
      <c r="L229" s="172"/>
      <c r="M229" s="172"/>
      <c r="N229" s="172"/>
      <c r="O229" s="172"/>
      <c r="P229" s="172"/>
      <c r="AA229" s="171"/>
    </row>
    <row r="230" spans="3:27" s="230" customFormat="1" ht="11.25" hidden="1">
      <c r="C230" s="1203"/>
      <c r="D230" s="173" t="str">
        <f>IF(Indice_index!$Z$1=1,"agosto","August")</f>
        <v>August</v>
      </c>
      <c r="E230" s="172">
        <v>-0.4</v>
      </c>
      <c r="F230" s="172">
        <v>-1.2</v>
      </c>
      <c r="G230" s="172">
        <v>0.1</v>
      </c>
      <c r="H230" s="172">
        <v>-0.4</v>
      </c>
      <c r="I230" s="172">
        <v>-3.3</v>
      </c>
      <c r="K230" s="172">
        <v>-2.1</v>
      </c>
      <c r="L230" s="172"/>
      <c r="M230" s="172"/>
      <c r="N230" s="172"/>
      <c r="O230" s="172"/>
      <c r="P230" s="172"/>
      <c r="AA230" s="171"/>
    </row>
    <row r="231" spans="3:27" s="230" customFormat="1" ht="11.25" hidden="1">
      <c r="C231" s="1203"/>
      <c r="D231" s="173" t="str">
        <f>IF(Indice_index!$Z$1=1,"setembro","September")</f>
        <v>September</v>
      </c>
      <c r="E231" s="172">
        <v>-0.3</v>
      </c>
      <c r="F231" s="172">
        <v>-1.2</v>
      </c>
      <c r="G231" s="172">
        <v>0.1</v>
      </c>
      <c r="H231" s="172">
        <v>-0.3</v>
      </c>
      <c r="I231" s="172">
        <v>-3</v>
      </c>
      <c r="K231" s="172">
        <v>-2.2000000000000002</v>
      </c>
      <c r="L231" s="172"/>
      <c r="M231" s="172"/>
      <c r="N231" s="172"/>
      <c r="O231" s="172"/>
      <c r="P231" s="172"/>
      <c r="AA231" s="171"/>
    </row>
    <row r="232" spans="3:27" s="230" customFormat="1" ht="11.25" hidden="1">
      <c r="C232" s="1203"/>
      <c r="D232" s="173" t="str">
        <f>IF(Indice_index!$Z$1=1,"outubro","October")</f>
        <v>October</v>
      </c>
      <c r="E232" s="172">
        <v>-0.1</v>
      </c>
      <c r="F232" s="172">
        <v>-1.3</v>
      </c>
      <c r="G232" s="172">
        <v>2.2999999999999998</v>
      </c>
      <c r="H232" s="172">
        <v>0.3</v>
      </c>
      <c r="I232" s="172">
        <v>-3.6</v>
      </c>
      <c r="K232" s="172">
        <v>-2.2000000000000002</v>
      </c>
      <c r="L232" s="172"/>
      <c r="M232" s="172"/>
      <c r="N232" s="172"/>
      <c r="O232" s="172"/>
      <c r="P232" s="172"/>
      <c r="AA232" s="171"/>
    </row>
    <row r="233" spans="3:27" s="230" customFormat="1" ht="11.25" hidden="1">
      <c r="C233" s="1204"/>
      <c r="D233" s="173" t="str">
        <f>IF(Indice_index!$Z$1=1,"novembro","November")</f>
        <v>November</v>
      </c>
      <c r="E233" s="172">
        <v>0</v>
      </c>
      <c r="F233" s="172">
        <v>-1.2</v>
      </c>
      <c r="G233" s="172">
        <v>2.2999999999999998</v>
      </c>
      <c r="H233" s="172">
        <v>0.5</v>
      </c>
      <c r="I233" s="172">
        <v>41.7</v>
      </c>
      <c r="J233" s="172"/>
      <c r="K233" s="172">
        <v>-2.2000000000000002</v>
      </c>
      <c r="L233" s="172"/>
      <c r="M233" s="172"/>
      <c r="N233" s="172"/>
      <c r="O233" s="172"/>
      <c r="P233" s="172"/>
      <c r="AA233" s="171"/>
    </row>
    <row r="234" spans="3:27" s="230" customFormat="1" ht="11.25" hidden="1">
      <c r="C234" s="1204"/>
      <c r="D234" s="173" t="str">
        <f>IF(Indice_index!$Z$1=1,"dezembro","December")</f>
        <v>December</v>
      </c>
      <c r="E234" s="172">
        <v>0.1</v>
      </c>
      <c r="F234" s="172">
        <v>-1.3</v>
      </c>
      <c r="G234" s="172">
        <v>2.4</v>
      </c>
      <c r="H234" s="172">
        <v>0.5</v>
      </c>
      <c r="I234" s="172">
        <v>-2.2999999999999998</v>
      </c>
      <c r="K234" s="172">
        <v>-2.1</v>
      </c>
      <c r="L234" s="172"/>
      <c r="M234" s="172"/>
      <c r="N234" s="172"/>
      <c r="O234" s="172"/>
      <c r="P234" s="172"/>
      <c r="AA234" s="171"/>
    </row>
    <row r="235" spans="3:27" s="230" customFormat="1" ht="15" hidden="1" customHeight="1">
      <c r="C235" s="1203">
        <v>2018</v>
      </c>
      <c r="D235" s="172"/>
      <c r="E235" s="172"/>
      <c r="F235" s="172"/>
      <c r="G235" s="172"/>
      <c r="H235" s="172"/>
      <c r="I235" s="172"/>
      <c r="K235" s="172"/>
      <c r="L235" s="172"/>
      <c r="M235" s="172"/>
      <c r="N235" s="172"/>
      <c r="O235" s="172"/>
      <c r="P235" s="172"/>
      <c r="AA235" s="171"/>
    </row>
    <row r="236" spans="3:27" s="172" customFormat="1" ht="15" hidden="1" customHeight="1">
      <c r="C236" s="1249"/>
      <c r="D236" s="173" t="str">
        <f>IF(Indice_index!$Z$1=1,"janeiro","January")</f>
        <v>January</v>
      </c>
      <c r="E236" s="230">
        <v>0</v>
      </c>
      <c r="F236" s="230">
        <v>-1.3</v>
      </c>
      <c r="G236" s="230">
        <v>2.4</v>
      </c>
      <c r="H236" s="230">
        <v>0.5</v>
      </c>
      <c r="I236" s="230">
        <v>-2.4</v>
      </c>
      <c r="J236" s="230"/>
      <c r="K236" s="230">
        <v>-2.1</v>
      </c>
      <c r="M236" s="232"/>
      <c r="N236" s="232"/>
      <c r="O236" s="232"/>
      <c r="P236" s="232"/>
      <c r="Q236" s="232"/>
      <c r="R236" s="232"/>
      <c r="S236" s="232"/>
      <c r="AA236" s="173"/>
    </row>
    <row r="237" spans="3:27" s="172" customFormat="1" ht="15" hidden="1" customHeight="1">
      <c r="C237" s="1249"/>
      <c r="D237" s="173" t="str">
        <f>IF(Indice_index!$Z$1=1,"fevereiro","February")</f>
        <v>February</v>
      </c>
      <c r="E237" s="230">
        <v>0.1</v>
      </c>
      <c r="F237" s="230">
        <v>-1.3</v>
      </c>
      <c r="G237" s="230">
        <v>2.4</v>
      </c>
      <c r="H237" s="230">
        <v>0.5</v>
      </c>
      <c r="I237" s="230">
        <v>-1.5</v>
      </c>
      <c r="J237" s="230"/>
      <c r="K237" s="230">
        <v>-2.2000000000000002</v>
      </c>
      <c r="M237" s="232"/>
      <c r="N237" s="232"/>
      <c r="O237" s="232"/>
      <c r="P237" s="232"/>
      <c r="Q237" s="232"/>
      <c r="R237" s="232"/>
      <c r="S237" s="232"/>
      <c r="AA237" s="173"/>
    </row>
    <row r="238" spans="3:27" s="230" customFormat="1" ht="15" hidden="1" customHeight="1">
      <c r="C238" s="1203"/>
      <c r="D238" s="173" t="str">
        <f>IF(Indice_index!$Z$1=1,"março","March")</f>
        <v>March</v>
      </c>
      <c r="E238" s="230">
        <v>0.2</v>
      </c>
      <c r="F238" s="230">
        <v>-1.3</v>
      </c>
      <c r="G238" s="230">
        <v>2.2000000000000002</v>
      </c>
      <c r="H238" s="230">
        <v>0.5</v>
      </c>
      <c r="I238" s="230">
        <v>-3.5</v>
      </c>
      <c r="K238" s="230">
        <v>-2.2000000000000002</v>
      </c>
      <c r="L238" s="172"/>
      <c r="M238" s="232"/>
      <c r="N238" s="232"/>
      <c r="O238" s="232"/>
      <c r="P238" s="232"/>
      <c r="Q238" s="232"/>
      <c r="R238" s="232"/>
      <c r="S238" s="232"/>
      <c r="AA238" s="171"/>
    </row>
    <row r="239" spans="3:27" s="230" customFormat="1" ht="15" hidden="1" customHeight="1">
      <c r="C239" s="1203"/>
      <c r="D239" s="173" t="str">
        <f>IF(Indice_index!$Z$1=1,"abril","April")</f>
        <v>April</v>
      </c>
      <c r="E239" s="230">
        <v>0.2</v>
      </c>
      <c r="F239" s="230">
        <v>-1.4</v>
      </c>
      <c r="G239" s="230">
        <v>2</v>
      </c>
      <c r="H239" s="230">
        <v>0.4</v>
      </c>
      <c r="I239" s="230">
        <v>-2.2999999999999998</v>
      </c>
      <c r="K239" s="230">
        <v>-2.2000000000000002</v>
      </c>
      <c r="L239" s="172"/>
      <c r="M239" s="232"/>
      <c r="N239" s="232"/>
      <c r="O239" s="232"/>
      <c r="P239" s="232"/>
      <c r="Q239" s="232"/>
      <c r="R239" s="232"/>
      <c r="S239" s="232"/>
      <c r="AA239" s="171"/>
    </row>
    <row r="240" spans="3:27" s="230" customFormat="1" ht="15" hidden="1" customHeight="1">
      <c r="C240" s="1203"/>
      <c r="D240" s="173" t="str">
        <f>IF(Indice_index!$Z$1=1,"maio","May")</f>
        <v>May</v>
      </c>
      <c r="E240" s="230">
        <v>0.2</v>
      </c>
      <c r="F240" s="230">
        <v>-1.4</v>
      </c>
      <c r="G240" s="230">
        <v>1.9</v>
      </c>
      <c r="H240" s="230">
        <v>0.4</v>
      </c>
      <c r="I240" s="230">
        <v>-2.4</v>
      </c>
      <c r="K240" s="230">
        <v>-2.2999999999999998</v>
      </c>
      <c r="L240" s="172"/>
      <c r="M240" s="232"/>
      <c r="N240" s="232"/>
      <c r="O240" s="232"/>
      <c r="P240" s="232"/>
      <c r="Q240" s="232"/>
      <c r="R240" s="232"/>
      <c r="S240" s="232"/>
      <c r="AA240" s="171"/>
    </row>
    <row r="241" spans="3:27" s="230" customFormat="1" ht="15" hidden="1" customHeight="1">
      <c r="C241" s="1203"/>
      <c r="D241" s="173" t="str">
        <f>IF(Indice_index!$Z$1=1,"junho","June")</f>
        <v>June</v>
      </c>
      <c r="E241" s="230">
        <v>0.1</v>
      </c>
      <c r="F241" s="230">
        <v>-1.5</v>
      </c>
      <c r="G241" s="230">
        <v>1.7</v>
      </c>
      <c r="H241" s="230">
        <v>0.3</v>
      </c>
      <c r="I241" s="230">
        <v>-2.2000000000000002</v>
      </c>
      <c r="K241" s="230">
        <v>-2.2999999999999998</v>
      </c>
      <c r="L241" s="172"/>
      <c r="M241" s="232"/>
      <c r="N241" s="232"/>
      <c r="O241" s="232"/>
      <c r="P241" s="232"/>
      <c r="Q241" s="232"/>
      <c r="R241" s="232"/>
      <c r="S241" s="232"/>
      <c r="AA241" s="171"/>
    </row>
    <row r="242" spans="3:27" s="230" customFormat="1" ht="15" hidden="1" customHeight="1">
      <c r="C242" s="1203"/>
      <c r="D242" s="173" t="str">
        <f>IF(Indice_index!$Z$1=1,"julho","July")</f>
        <v>July</v>
      </c>
      <c r="E242" s="230">
        <v>-0.1</v>
      </c>
      <c r="F242" s="230">
        <v>-1.5</v>
      </c>
      <c r="G242" s="230">
        <v>1.8</v>
      </c>
      <c r="H242" s="230">
        <v>0.2</v>
      </c>
      <c r="I242" s="230">
        <v>-0.5</v>
      </c>
      <c r="K242" s="230">
        <v>-2.2000000000000002</v>
      </c>
      <c r="L242" s="172"/>
      <c r="M242" s="232"/>
      <c r="N242" s="232"/>
      <c r="O242" s="232"/>
      <c r="P242" s="232"/>
      <c r="Q242" s="232"/>
      <c r="R242" s="232"/>
      <c r="S242" s="232"/>
      <c r="AA242" s="171"/>
    </row>
    <row r="243" spans="3:27" s="230" customFormat="1" ht="15" hidden="1" customHeight="1">
      <c r="C243" s="1203"/>
      <c r="D243" s="173" t="str">
        <f>IF(Indice_index!$Z$1=1,"agosto","August")</f>
        <v>August</v>
      </c>
      <c r="E243" s="172">
        <v>-0.2</v>
      </c>
      <c r="F243" s="172">
        <v>-1.5</v>
      </c>
      <c r="G243" s="172">
        <v>1.7</v>
      </c>
      <c r="H243" s="172">
        <v>0.1</v>
      </c>
      <c r="I243" s="172">
        <v>-3</v>
      </c>
      <c r="K243" s="172">
        <v>-2.2999999999999998</v>
      </c>
      <c r="L243" s="172"/>
      <c r="M243" s="232"/>
      <c r="N243" s="232"/>
      <c r="O243" s="232"/>
      <c r="P243" s="232"/>
      <c r="Q243" s="232"/>
      <c r="R243" s="232"/>
      <c r="S243" s="232"/>
      <c r="AA243" s="171"/>
    </row>
    <row r="244" spans="3:27" s="230" customFormat="1" ht="15" hidden="1" customHeight="1">
      <c r="C244" s="1203"/>
      <c r="D244" s="173" t="str">
        <f>IF(Indice_index!$Z$1=1,"setembro","September")</f>
        <v>September</v>
      </c>
      <c r="E244" s="172">
        <v>-0.2</v>
      </c>
      <c r="F244" s="172">
        <v>-1.6</v>
      </c>
      <c r="G244" s="172">
        <v>1.7</v>
      </c>
      <c r="H244" s="172">
        <v>0.1</v>
      </c>
      <c r="I244" s="172">
        <v>-2.5</v>
      </c>
      <c r="K244" s="172">
        <v>-2.2000000000000002</v>
      </c>
      <c r="L244" s="172"/>
      <c r="M244" s="232"/>
      <c r="N244" s="232"/>
      <c r="O244" s="232"/>
      <c r="P244" s="232"/>
      <c r="Q244" s="232"/>
      <c r="R244" s="232"/>
      <c r="S244" s="232"/>
      <c r="AA244" s="171"/>
    </row>
    <row r="245" spans="3:27" s="230" customFormat="1" ht="15" hidden="1" customHeight="1">
      <c r="C245" s="1203"/>
      <c r="D245" s="173" t="str">
        <f>IF(Indice_index!$Z$1=1,"outubro","October")</f>
        <v>October</v>
      </c>
      <c r="E245" s="172">
        <v>-0.3</v>
      </c>
      <c r="F245" s="172">
        <v>-1.6</v>
      </c>
      <c r="G245" s="172">
        <v>-0.6</v>
      </c>
      <c r="H245" s="172">
        <v>-0.5</v>
      </c>
      <c r="I245" s="172">
        <v>-1.8</v>
      </c>
      <c r="K245" s="172">
        <v>-2.2999999999999998</v>
      </c>
      <c r="L245" s="172"/>
      <c r="M245" s="232"/>
      <c r="N245" s="232"/>
      <c r="O245" s="232"/>
      <c r="P245" s="232"/>
      <c r="Q245" s="232"/>
      <c r="R245" s="232"/>
      <c r="S245" s="232"/>
      <c r="AA245" s="171"/>
    </row>
    <row r="246" spans="3:27" s="230" customFormat="1" ht="15" hidden="1" customHeight="1">
      <c r="C246" s="1204"/>
      <c r="D246" s="173" t="str">
        <f>IF(Indice_index!$Z$1=1,"novembro","November")</f>
        <v>November</v>
      </c>
      <c r="E246" s="222">
        <v>-0.5</v>
      </c>
      <c r="F246" s="222">
        <v>-1.6</v>
      </c>
      <c r="G246" s="222">
        <v>-0.4</v>
      </c>
      <c r="H246" s="222">
        <v>-0.6</v>
      </c>
      <c r="I246" s="222">
        <v>31.9</v>
      </c>
      <c r="J246" s="172"/>
      <c r="K246" s="222">
        <v>-2.2999999999999998</v>
      </c>
      <c r="L246" s="172"/>
      <c r="M246" s="232"/>
      <c r="N246" s="232"/>
      <c r="O246" s="232"/>
      <c r="P246" s="232"/>
      <c r="Q246" s="232"/>
      <c r="R246" s="232"/>
      <c r="S246" s="232"/>
      <c r="AA246" s="171"/>
    </row>
    <row r="247" spans="3:27" s="230" customFormat="1" ht="15" hidden="1" customHeight="1">
      <c r="C247" s="1204"/>
      <c r="D247" s="173" t="str">
        <f>IF(Indice_index!$Z$1=1,"dezembro","December")</f>
        <v>December</v>
      </c>
      <c r="E247" s="172">
        <v>-0.4</v>
      </c>
      <c r="F247" s="172">
        <v>-1.5</v>
      </c>
      <c r="G247" s="172">
        <v>-0.4</v>
      </c>
      <c r="H247" s="172">
        <v>-0.5</v>
      </c>
      <c r="I247" s="172">
        <v>-1.1000000000000001</v>
      </c>
      <c r="K247" s="172">
        <v>-2.2999999999999998</v>
      </c>
      <c r="L247" s="172"/>
      <c r="M247" s="232"/>
      <c r="N247" s="232"/>
      <c r="O247" s="232"/>
      <c r="P247" s="232"/>
      <c r="Q247" s="232"/>
      <c r="R247" s="232"/>
      <c r="S247" s="232"/>
      <c r="AA247" s="171"/>
    </row>
    <row r="248" spans="3:27" s="230" customFormat="1" ht="15" customHeight="1">
      <c r="C248" s="1203">
        <v>2019</v>
      </c>
      <c r="D248" s="172"/>
      <c r="E248" s="172"/>
      <c r="F248" s="172"/>
      <c r="G248" s="172"/>
      <c r="H248" s="172"/>
      <c r="I248" s="172"/>
      <c r="K248" s="172"/>
      <c r="L248" s="172"/>
      <c r="M248" s="232"/>
      <c r="N248" s="232"/>
      <c r="O248" s="232"/>
      <c r="P248" s="232"/>
      <c r="Q248" s="232"/>
      <c r="R248" s="232"/>
      <c r="S248" s="232"/>
      <c r="AA248" s="171"/>
    </row>
    <row r="249" spans="3:27" s="172" customFormat="1" ht="15" customHeight="1">
      <c r="C249" s="1249"/>
      <c r="D249" s="173" t="str">
        <f>IF(Indice_index!$Z$1=1,"janeiro","January")</f>
        <v>January</v>
      </c>
      <c r="E249" s="1250">
        <v>-0.4</v>
      </c>
      <c r="F249" s="1250">
        <v>-1.4</v>
      </c>
      <c r="G249" s="1250">
        <v>-0.3</v>
      </c>
      <c r="H249" s="1250">
        <v>-0.5</v>
      </c>
      <c r="I249" s="1250">
        <v>2.6</v>
      </c>
      <c r="J249" s="1250"/>
      <c r="K249" s="1250">
        <v>-2.2000000000000002</v>
      </c>
      <c r="M249" s="232"/>
      <c r="N249" s="232"/>
      <c r="O249" s="232"/>
      <c r="P249" s="232"/>
      <c r="Q249" s="232"/>
      <c r="R249" s="232"/>
      <c r="S249" s="232"/>
      <c r="AA249" s="173"/>
    </row>
    <row r="250" spans="3:27" s="172" customFormat="1" ht="15" customHeight="1">
      <c r="C250" s="1249"/>
      <c r="D250" s="173" t="str">
        <f>IF(Indice_index!$Z$1=1,"fevereiro","February")</f>
        <v>February</v>
      </c>
      <c r="E250" s="1250">
        <v>-0.4</v>
      </c>
      <c r="F250" s="1250">
        <v>-1.3</v>
      </c>
      <c r="G250" s="1250">
        <v>-0.2</v>
      </c>
      <c r="H250" s="1250">
        <v>-0.4</v>
      </c>
      <c r="I250" s="1250">
        <v>1.6</v>
      </c>
      <c r="J250" s="1250"/>
      <c r="K250" s="1250">
        <v>-2.2999999999999998</v>
      </c>
      <c r="M250" s="232"/>
      <c r="N250" s="232"/>
      <c r="O250" s="232"/>
      <c r="P250" s="232"/>
      <c r="Q250" s="232"/>
      <c r="R250" s="232"/>
      <c r="S250" s="232"/>
      <c r="AA250" s="173"/>
    </row>
    <row r="251" spans="3:27" s="230" customFormat="1" ht="15" customHeight="1">
      <c r="C251" s="1203"/>
      <c r="D251" s="173" t="str">
        <f>IF(Indice_index!$Z$1=1,"março","March")</f>
        <v>March</v>
      </c>
      <c r="E251" s="1250">
        <v>-0.5</v>
      </c>
      <c r="F251" s="1250">
        <v>-1.2</v>
      </c>
      <c r="G251" s="1250">
        <v>0</v>
      </c>
      <c r="H251" s="1250">
        <v>-0.4</v>
      </c>
      <c r="I251" s="1250">
        <v>1.7</v>
      </c>
      <c r="J251" s="1250"/>
      <c r="K251" s="1250">
        <v>-2.4</v>
      </c>
      <c r="L251" s="172"/>
      <c r="M251" s="232"/>
      <c r="N251" s="232"/>
      <c r="O251" s="232"/>
      <c r="P251" s="232"/>
      <c r="Q251" s="232"/>
      <c r="R251" s="232"/>
      <c r="S251" s="232"/>
      <c r="AA251" s="171"/>
    </row>
    <row r="252" spans="3:27" s="230" customFormat="1" ht="15" customHeight="1">
      <c r="C252" s="1203"/>
      <c r="D252" s="173" t="str">
        <f>IF(Indice_index!$Z$1=1,"abril","April")</f>
        <v>April</v>
      </c>
      <c r="E252" s="1250">
        <v>-0.3</v>
      </c>
      <c r="F252" s="1250">
        <v>-0.9</v>
      </c>
      <c r="G252" s="1250">
        <v>0.1</v>
      </c>
      <c r="H252" s="1250">
        <v>-0.3</v>
      </c>
      <c r="I252" s="1250">
        <v>1.4</v>
      </c>
      <c r="J252" s="1250"/>
      <c r="K252" s="1250">
        <v>-2.4</v>
      </c>
      <c r="L252" s="172"/>
      <c r="M252" s="232"/>
      <c r="N252" s="232"/>
      <c r="O252" s="232"/>
      <c r="P252" s="232"/>
      <c r="Q252" s="232"/>
      <c r="R252" s="232"/>
      <c r="S252" s="232"/>
      <c r="AA252" s="171"/>
    </row>
    <row r="253" spans="3:27" s="230" customFormat="1" ht="15" customHeight="1">
      <c r="C253" s="1203"/>
      <c r="D253" s="173" t="str">
        <f>IF(Indice_index!$Z$1=1,"maio","May")</f>
        <v>May</v>
      </c>
      <c r="E253" s="1250">
        <v>-0.3</v>
      </c>
      <c r="F253" s="1250">
        <v>-0.8</v>
      </c>
      <c r="G253" s="1250">
        <v>0.2</v>
      </c>
      <c r="H253" s="1250">
        <v>-0.2</v>
      </c>
      <c r="I253" s="1250">
        <v>1.5</v>
      </c>
      <c r="J253" s="1250"/>
      <c r="K253" s="1250">
        <v>-2.4</v>
      </c>
      <c r="L253" s="172"/>
      <c r="M253" s="232"/>
      <c r="N253" s="232"/>
      <c r="O253" s="232"/>
      <c r="P253" s="232"/>
      <c r="Q253" s="232"/>
      <c r="R253" s="232"/>
      <c r="S253" s="232"/>
      <c r="AA253" s="171"/>
    </row>
    <row r="254" spans="3:27" s="230" customFormat="1" ht="15" customHeight="1">
      <c r="C254" s="1203"/>
      <c r="D254" s="173" t="str">
        <f>IF(Indice_index!$Z$1=1,"junho","June")</f>
        <v>June</v>
      </c>
      <c r="E254" s="1250">
        <v>-0.2</v>
      </c>
      <c r="F254" s="1250">
        <v>-0.7</v>
      </c>
      <c r="G254" s="1250">
        <v>0.5</v>
      </c>
      <c r="H254" s="1250">
        <v>-0.1</v>
      </c>
      <c r="I254" s="1250">
        <v>1.5</v>
      </c>
      <c r="J254" s="1250"/>
      <c r="K254" s="1250">
        <v>-2.5</v>
      </c>
      <c r="L254" s="172"/>
      <c r="M254" s="232"/>
      <c r="N254" s="232"/>
      <c r="O254" s="232"/>
      <c r="P254" s="232"/>
      <c r="Q254" s="232"/>
      <c r="R254" s="232"/>
      <c r="S254" s="232"/>
      <c r="AA254" s="171"/>
    </row>
    <row r="255" spans="3:27" s="230" customFormat="1" ht="15" customHeight="1">
      <c r="C255" s="1203"/>
      <c r="D255" s="173" t="str">
        <f>IF(Indice_index!$Z$1=1,"julho","July")</f>
        <v>July</v>
      </c>
      <c r="E255" s="1250">
        <v>-0.1</v>
      </c>
      <c r="F255" s="1250">
        <v>-0.6</v>
      </c>
      <c r="G255" s="1250">
        <v>0.5</v>
      </c>
      <c r="H255" s="1250">
        <v>0</v>
      </c>
      <c r="I255" s="1250">
        <v>1.4</v>
      </c>
      <c r="J255" s="1250"/>
      <c r="K255" s="1250">
        <v>-2.5</v>
      </c>
      <c r="L255" s="172"/>
      <c r="M255" s="232"/>
      <c r="N255" s="232"/>
      <c r="O255" s="232"/>
      <c r="P255" s="232"/>
      <c r="Q255" s="232"/>
      <c r="R255" s="232"/>
      <c r="S255" s="232"/>
      <c r="AA255" s="171"/>
    </row>
    <row r="256" spans="3:27" s="230" customFormat="1" ht="15" customHeight="1">
      <c r="C256" s="1203"/>
      <c r="D256" s="173" t="str">
        <f>IF(Indice_index!$Z$1=1,"agosto","August")</f>
        <v>August</v>
      </c>
      <c r="E256" s="1250">
        <v>-0.1</v>
      </c>
      <c r="F256" s="1250">
        <v>-0.6</v>
      </c>
      <c r="G256" s="1250">
        <v>0.7</v>
      </c>
      <c r="H256" s="1250">
        <v>0</v>
      </c>
      <c r="I256" s="1250">
        <v>3.2</v>
      </c>
      <c r="J256" s="1250"/>
      <c r="K256" s="1250">
        <v>-2.5</v>
      </c>
      <c r="L256" s="172"/>
      <c r="M256" s="172"/>
      <c r="N256" s="172"/>
      <c r="O256" s="172"/>
      <c r="P256" s="172"/>
      <c r="AA256" s="171"/>
    </row>
    <row r="257" spans="3:27" s="230" customFormat="1" ht="15" customHeight="1">
      <c r="C257" s="1203"/>
      <c r="D257" s="173" t="str">
        <f>IF(Indice_index!$Z$1=1,"setembro","September")</f>
        <v>September</v>
      </c>
      <c r="E257" s="1250">
        <v>-0.1</v>
      </c>
      <c r="F257" s="1250">
        <v>-0.5</v>
      </c>
      <c r="G257" s="1250">
        <v>0.9</v>
      </c>
      <c r="H257" s="1250">
        <v>0.1</v>
      </c>
      <c r="I257" s="1250">
        <v>1.4</v>
      </c>
      <c r="J257" s="1250"/>
      <c r="K257" s="1250">
        <v>-2.5</v>
      </c>
      <c r="L257" s="172"/>
      <c r="M257" s="172"/>
      <c r="N257" s="172"/>
      <c r="O257" s="172"/>
      <c r="P257" s="172"/>
      <c r="AA257" s="171"/>
    </row>
    <row r="258" spans="3:27" s="230" customFormat="1" ht="15" customHeight="1">
      <c r="C258" s="1203"/>
      <c r="D258" s="173" t="str">
        <f>IF(Indice_index!$Z$1=1,"outubro","October")</f>
        <v>October</v>
      </c>
      <c r="E258" s="1251">
        <v>0</v>
      </c>
      <c r="F258" s="1251">
        <v>-0.5</v>
      </c>
      <c r="G258" s="1251">
        <v>1</v>
      </c>
      <c r="H258" s="1251">
        <v>0.2</v>
      </c>
      <c r="I258" s="1251">
        <v>0.3</v>
      </c>
      <c r="J258" s="1251"/>
      <c r="K258" s="1251">
        <v>-2.6</v>
      </c>
      <c r="L258" s="172"/>
      <c r="M258" s="172"/>
      <c r="N258" s="172"/>
      <c r="O258" s="172"/>
      <c r="P258" s="172"/>
      <c r="AA258" s="171"/>
    </row>
    <row r="259" spans="3:27" s="230" customFormat="1" ht="15" customHeight="1">
      <c r="C259" s="1204"/>
      <c r="D259" s="173" t="str">
        <f>IF(Indice_index!$Z$1=1,"novembro","November")</f>
        <v>November</v>
      </c>
      <c r="E259" s="1252">
        <v>0.28741768342819835</v>
      </c>
      <c r="F259" s="1252">
        <v>-0.478849644003909</v>
      </c>
      <c r="G259" s="1252">
        <v>1.0870232381139442</v>
      </c>
      <c r="H259" s="1252">
        <v>0.40484568665660392</v>
      </c>
      <c r="I259" s="1252">
        <v>2.2368481612740077</v>
      </c>
      <c r="J259" s="1252"/>
      <c r="K259" s="1252">
        <v>-2.7141471799914054</v>
      </c>
      <c r="L259" s="172"/>
      <c r="M259" s="172"/>
      <c r="N259" s="172"/>
      <c r="O259" s="172"/>
      <c r="P259" s="172"/>
      <c r="AA259" s="171"/>
    </row>
    <row r="260" spans="3:27" s="230" customFormat="1" ht="15" customHeight="1">
      <c r="C260" s="1204"/>
      <c r="D260" s="173" t="str">
        <f>IF(Indice_index!$Z$1=1,"dezembro","December")</f>
        <v>December</v>
      </c>
      <c r="E260" s="172">
        <v>0.56764079356821018</v>
      </c>
      <c r="F260" s="172">
        <v>-0.60148487216702029</v>
      </c>
      <c r="G260" s="172">
        <v>0.82491665032359296</v>
      </c>
      <c r="H260" s="172">
        <v>0.50256889304063523</v>
      </c>
      <c r="I260" s="172">
        <v>0.89301661010894806</v>
      </c>
      <c r="K260" s="172">
        <v>-2.7948630075215095</v>
      </c>
      <c r="L260" s="172"/>
      <c r="M260" s="172"/>
      <c r="N260" s="172"/>
      <c r="O260" s="172"/>
      <c r="P260" s="172"/>
      <c r="AA260" s="171"/>
    </row>
    <row r="261" spans="3:27" s="230" customFormat="1" ht="15" customHeight="1">
      <c r="C261" s="1203">
        <v>2020</v>
      </c>
      <c r="D261" s="172"/>
      <c r="E261" s="172"/>
      <c r="F261" s="172"/>
      <c r="G261" s="172"/>
      <c r="H261" s="172"/>
      <c r="I261" s="172"/>
      <c r="K261" s="172"/>
      <c r="L261" s="172"/>
      <c r="M261" s="232"/>
      <c r="N261" s="232"/>
      <c r="O261" s="232"/>
      <c r="P261" s="232"/>
      <c r="Q261" s="232"/>
      <c r="R261" s="232"/>
      <c r="S261" s="232"/>
      <c r="AA261" s="171"/>
    </row>
    <row r="262" spans="3:27" s="172" customFormat="1" ht="15" customHeight="1">
      <c r="C262" s="1249"/>
      <c r="D262" s="173" t="str">
        <f>IF(Indice_index!$Z$1=1,"janeiro","January")</f>
        <v>January</v>
      </c>
      <c r="E262" s="1250">
        <v>0.64890282901017782</v>
      </c>
      <c r="F262" s="1250">
        <v>-0.79712977440250177</v>
      </c>
      <c r="G262" s="1250">
        <v>1.2976038113667399</v>
      </c>
      <c r="H262" s="1250">
        <v>0.65256308473045976</v>
      </c>
      <c r="I262" s="1250">
        <v>0.13975019652370591</v>
      </c>
      <c r="J262" s="1250"/>
      <c r="K262" s="1250">
        <v>-2.830792038708132</v>
      </c>
      <c r="M262" s="232"/>
      <c r="N262" s="232"/>
      <c r="O262" s="232"/>
      <c r="P262" s="232"/>
      <c r="Q262" s="232"/>
      <c r="R262" s="232"/>
      <c r="S262" s="232"/>
      <c r="T262" s="232"/>
      <c r="U262" s="232"/>
      <c r="V262" s="232"/>
      <c r="W262" s="232"/>
      <c r="X262" s="232"/>
      <c r="Y262" s="232"/>
      <c r="AA262" s="173"/>
    </row>
    <row r="263" spans="3:27" s="172" customFormat="1" ht="15" customHeight="1">
      <c r="C263" s="1249"/>
      <c r="D263" s="173" t="str">
        <f>IF(Indice_index!$Z$1=1,"fevereiro","February")</f>
        <v>February</v>
      </c>
      <c r="E263" s="1250">
        <v>0.71713812768005814</v>
      </c>
      <c r="F263" s="1250">
        <v>-0.90320596171860801</v>
      </c>
      <c r="G263" s="1250">
        <v>1.0851679441144626</v>
      </c>
      <c r="H263" s="1250">
        <v>0.63035875012068388</v>
      </c>
      <c r="I263" s="1250">
        <v>0.47317203821089027</v>
      </c>
      <c r="J263" s="1250"/>
      <c r="K263" s="1250">
        <v>-2.9193642253336143</v>
      </c>
      <c r="M263" s="232"/>
      <c r="N263" s="232"/>
      <c r="O263" s="232"/>
      <c r="P263" s="232"/>
      <c r="Q263" s="232"/>
      <c r="R263" s="232"/>
      <c r="S263" s="232"/>
      <c r="T263" s="232"/>
      <c r="U263" s="232"/>
      <c r="V263" s="232"/>
      <c r="W263" s="232"/>
      <c r="X263" s="232"/>
      <c r="Y263" s="232"/>
      <c r="AA263" s="173"/>
    </row>
    <row r="264" spans="3:27" s="230" customFormat="1" ht="15" customHeight="1">
      <c r="C264" s="1203"/>
      <c r="D264" s="173" t="str">
        <f>IF(Indice_index!$Z$1=1,"março","March")</f>
        <v>March</v>
      </c>
      <c r="E264" s="1250">
        <v>0.89035299211746077</v>
      </c>
      <c r="F264" s="1250">
        <v>-0.82113980359790717</v>
      </c>
      <c r="G264" s="1250">
        <v>1.0608878664774117</v>
      </c>
      <c r="H264" s="1250">
        <v>0.74305973476852272</v>
      </c>
      <c r="I264" s="1250">
        <v>1.1182252682838725</v>
      </c>
      <c r="J264" s="1250"/>
      <c r="K264" s="1250">
        <v>-2.9439334000603719</v>
      </c>
      <c r="L264" s="172"/>
      <c r="M264" s="232"/>
      <c r="N264" s="232"/>
      <c r="O264" s="232"/>
      <c r="P264" s="232"/>
      <c r="Q264" s="232"/>
      <c r="R264" s="232"/>
      <c r="S264" s="232"/>
      <c r="T264" s="232"/>
      <c r="U264" s="232"/>
      <c r="V264" s="232"/>
      <c r="W264" s="232"/>
      <c r="X264" s="232"/>
      <c r="Y264" s="232"/>
      <c r="AA264" s="171"/>
    </row>
    <row r="265" spans="3:27" s="230" customFormat="1" ht="15" customHeight="1">
      <c r="C265" s="1203"/>
      <c r="D265" s="173" t="str">
        <f>IF(Indice_index!$Z$1=1,"abril","April")</f>
        <v>April</v>
      </c>
      <c r="E265" s="1250">
        <v>0.93985054875859053</v>
      </c>
      <c r="F265" s="1250">
        <v>-1.0999762393950829</v>
      </c>
      <c r="G265" s="1250">
        <v>1.1725754432347415</v>
      </c>
      <c r="H265" s="1250">
        <v>0.77162658884929436</v>
      </c>
      <c r="I265" s="1250">
        <v>0.49291987811435745</v>
      </c>
      <c r="J265" s="1250"/>
      <c r="K265" s="1250">
        <v>-2.9996565973114526</v>
      </c>
      <c r="L265" s="172"/>
      <c r="M265" s="232"/>
      <c r="N265" s="232"/>
      <c r="O265" s="232"/>
      <c r="P265" s="232"/>
      <c r="Q265" s="232"/>
      <c r="R265" s="232"/>
      <c r="S265" s="232"/>
      <c r="T265" s="232"/>
      <c r="U265" s="232"/>
      <c r="V265" s="232"/>
      <c r="W265" s="232"/>
      <c r="X265" s="232"/>
      <c r="Y265" s="232"/>
      <c r="AA265" s="171"/>
    </row>
    <row r="266" spans="3:27" s="230" customFormat="1" ht="15" customHeight="1">
      <c r="C266" s="1203"/>
      <c r="D266" s="173" t="str">
        <f>IF(Indice_index!$Z$1=1,"maio","May")</f>
        <v>May</v>
      </c>
      <c r="E266" s="1253">
        <v>0.9733508339846918</v>
      </c>
      <c r="F266" s="1253">
        <v>-1.362759623179493</v>
      </c>
      <c r="G266" s="1253">
        <v>1.1885662498622218</v>
      </c>
      <c r="H266" s="1253">
        <v>0.76765561155317019</v>
      </c>
      <c r="I266" s="1253">
        <v>0.65629776139530294</v>
      </c>
      <c r="J266" s="1253"/>
      <c r="K266" s="1253">
        <v>-3.0613454149327475</v>
      </c>
      <c r="L266" s="172"/>
      <c r="M266" s="232"/>
      <c r="N266" s="232"/>
      <c r="O266" s="232"/>
      <c r="P266" s="232"/>
      <c r="Q266" s="232"/>
      <c r="R266" s="232"/>
      <c r="S266" s="232"/>
      <c r="T266" s="232"/>
      <c r="U266" s="232"/>
      <c r="V266" s="232"/>
      <c r="W266" s="232"/>
      <c r="X266" s="232"/>
      <c r="Y266" s="232"/>
      <c r="AA266" s="171"/>
    </row>
    <row r="267" spans="3:27" s="230" customFormat="1" ht="15" customHeight="1">
      <c r="C267" s="1203"/>
      <c r="D267" s="173" t="str">
        <f>IF(Indice_index!$Z$1=1,"junho","June")</f>
        <v>June</v>
      </c>
      <c r="E267" s="1250">
        <v>1.1000000000000001</v>
      </c>
      <c r="F267" s="1250">
        <v>-1.6</v>
      </c>
      <c r="G267" s="1250">
        <v>1</v>
      </c>
      <c r="H267" s="1250">
        <v>0.8</v>
      </c>
      <c r="I267" s="1250">
        <v>0.6</v>
      </c>
      <c r="J267" s="1250"/>
      <c r="K267" s="1250">
        <v>-3.1</v>
      </c>
      <c r="L267" s="172"/>
      <c r="M267" s="232"/>
      <c r="N267" s="232"/>
      <c r="O267" s="232"/>
      <c r="P267" s="232"/>
      <c r="Q267" s="232"/>
      <c r="R267" s="232"/>
      <c r="S267" s="232"/>
      <c r="T267" s="232"/>
      <c r="U267" s="232"/>
      <c r="V267" s="232"/>
      <c r="W267" s="232"/>
      <c r="X267" s="232"/>
      <c r="Y267" s="232"/>
      <c r="AA267" s="171"/>
    </row>
    <row r="268" spans="3:27" s="230" customFormat="1" ht="15" customHeight="1">
      <c r="C268" s="1203"/>
      <c r="D268" s="173" t="str">
        <f>IF(Indice_index!$Z$1=1,"julho","July")</f>
        <v>July</v>
      </c>
      <c r="E268" s="1250">
        <v>1.2</v>
      </c>
      <c r="F268" s="1250">
        <v>-1.8</v>
      </c>
      <c r="G268" s="1250">
        <v>1.1000000000000001</v>
      </c>
      <c r="H268" s="1250">
        <v>0.8</v>
      </c>
      <c r="I268" s="1250">
        <v>0.5</v>
      </c>
      <c r="J268" s="1250"/>
      <c r="K268" s="1250">
        <v>-3.2</v>
      </c>
      <c r="L268" s="172"/>
      <c r="M268" s="232"/>
      <c r="N268" s="232"/>
      <c r="O268" s="232"/>
      <c r="P268" s="232"/>
      <c r="Q268" s="232"/>
      <c r="R268" s="232"/>
      <c r="S268" s="232"/>
      <c r="AA268" s="171"/>
    </row>
    <row r="269" spans="3:27" s="230" customFormat="1" ht="15" customHeight="1">
      <c r="C269" s="1203"/>
      <c r="D269" s="173" t="str">
        <f>IF(Indice_index!$Z$1=1,"agosto","August")</f>
        <v>August</v>
      </c>
      <c r="E269" s="1250">
        <v>1.2534073328258146</v>
      </c>
      <c r="F269" s="1250">
        <v>-1.9747522812517495</v>
      </c>
      <c r="G269" s="1250">
        <v>1.1217665384357454</v>
      </c>
      <c r="H269" s="1250">
        <v>0.86091406574564067</v>
      </c>
      <c r="I269" s="1250">
        <v>-0.76794068320240483</v>
      </c>
      <c r="J269" s="1250"/>
      <c r="K269" s="1250">
        <v>-3.2695709634565215</v>
      </c>
      <c r="L269" s="172"/>
      <c r="M269" s="172"/>
      <c r="N269" s="172"/>
      <c r="O269" s="172"/>
      <c r="P269" s="172"/>
      <c r="AA269" s="171"/>
    </row>
    <row r="270" spans="3:27" s="230" customFormat="1" ht="15" customHeight="1">
      <c r="C270" s="1203"/>
      <c r="D270" s="173" t="str">
        <f>IF(Indice_index!$Z$1=1,"setembro","September")</f>
        <v>September</v>
      </c>
      <c r="E270" s="1250">
        <v>1.2688330907743317</v>
      </c>
      <c r="F270" s="1250">
        <v>-2.3009097270818755</v>
      </c>
      <c r="G270" s="1250">
        <v>0.96997521783341767</v>
      </c>
      <c r="H270" s="1250">
        <v>0.79593620071461668</v>
      </c>
      <c r="I270" s="1250">
        <v>1.0147270114942692</v>
      </c>
      <c r="J270" s="1250"/>
      <c r="K270" s="1250">
        <v>-3.4066937656284866</v>
      </c>
      <c r="L270" s="172"/>
      <c r="M270" s="172"/>
      <c r="N270" s="172"/>
      <c r="O270" s="172"/>
      <c r="P270" s="172"/>
      <c r="AA270" s="171"/>
    </row>
    <row r="271" spans="3:27" s="230" customFormat="1" ht="15" customHeight="1">
      <c r="C271" s="1203"/>
      <c r="D271" s="173" t="str">
        <f>IF(Indice_index!$Z$1=1,"outubro","October")</f>
        <v>October</v>
      </c>
      <c r="E271" s="1254">
        <v>1.4</v>
      </c>
      <c r="F271" s="1254">
        <v>-2.4</v>
      </c>
      <c r="G271" s="1254">
        <v>0.9</v>
      </c>
      <c r="H271" s="1254">
        <v>0.8</v>
      </c>
      <c r="I271" s="1254">
        <v>0.7</v>
      </c>
      <c r="J271" s="1254"/>
      <c r="K271" s="1254">
        <v>-3.4</v>
      </c>
      <c r="L271" s="172"/>
      <c r="M271" s="172"/>
      <c r="N271" s="172"/>
      <c r="O271" s="172"/>
      <c r="P271" s="172"/>
      <c r="AA271" s="171"/>
    </row>
    <row r="272" spans="3:27" s="230" customFormat="1" ht="15" customHeight="1">
      <c r="C272" s="1204"/>
      <c r="D272" s="173" t="str">
        <f>IF(Indice_index!$Z$1=1,"novembro","November")</f>
        <v>November</v>
      </c>
      <c r="E272" s="1255">
        <v>1.1000000000000001</v>
      </c>
      <c r="F272" s="1255">
        <v>-2.5</v>
      </c>
      <c r="G272" s="1255">
        <v>0.8</v>
      </c>
      <c r="H272" s="1255">
        <v>0.6</v>
      </c>
      <c r="I272" s="1255">
        <v>0</v>
      </c>
      <c r="J272" s="1255"/>
      <c r="K272" s="1255">
        <v>-3.3</v>
      </c>
      <c r="L272" s="172"/>
      <c r="M272" s="172"/>
      <c r="N272" s="172"/>
      <c r="O272" s="172"/>
      <c r="P272" s="172"/>
      <c r="AA272" s="171"/>
    </row>
    <row r="273" spans="3:27" s="230" customFormat="1" ht="15" customHeight="1">
      <c r="C273" s="1204"/>
      <c r="D273" s="173" t="str">
        <f>IF(Indice_index!$Z$1=1,"dezembro","December")</f>
        <v>December</v>
      </c>
      <c r="E273" s="1256">
        <v>0.8</v>
      </c>
      <c r="F273" s="1256">
        <v>-2.7</v>
      </c>
      <c r="G273" s="1256">
        <v>1</v>
      </c>
      <c r="H273" s="1256">
        <v>0.5</v>
      </c>
      <c r="I273" s="1256">
        <v>0.9</v>
      </c>
      <c r="J273" s="1256"/>
      <c r="K273" s="1256">
        <v>-3.3</v>
      </c>
      <c r="L273" s="172"/>
      <c r="M273" s="172"/>
      <c r="N273" s="172"/>
      <c r="O273" s="172"/>
      <c r="P273" s="172"/>
      <c r="AA273" s="171"/>
    </row>
    <row r="274" spans="3:27" s="230" customFormat="1" ht="15" customHeight="1">
      <c r="C274" s="1203" t="s">
        <v>68</v>
      </c>
      <c r="D274" s="172"/>
      <c r="E274" s="172"/>
      <c r="F274" s="172"/>
      <c r="G274" s="172"/>
      <c r="H274" s="172"/>
      <c r="I274" s="172"/>
      <c r="K274" s="172"/>
      <c r="L274" s="172"/>
      <c r="M274" s="232"/>
      <c r="N274" s="232"/>
      <c r="O274" s="232"/>
      <c r="P274" s="232"/>
      <c r="Q274" s="232"/>
      <c r="R274" s="232"/>
      <c r="S274" s="232"/>
      <c r="AA274" s="171"/>
    </row>
    <row r="275" spans="3:27" s="172" customFormat="1" ht="15" customHeight="1">
      <c r="C275" s="1249"/>
      <c r="D275" s="173" t="str">
        <f>IF(Indice_index!$Z$1=1,"janeiro","January")</f>
        <v>January</v>
      </c>
      <c r="E275" s="1250">
        <v>0.7</v>
      </c>
      <c r="F275" s="1250">
        <v>-2.7</v>
      </c>
      <c r="G275" s="1250">
        <v>0.4</v>
      </c>
      <c r="H275" s="1250">
        <v>0.3</v>
      </c>
      <c r="I275" s="1250">
        <v>0.9</v>
      </c>
      <c r="J275" s="1250"/>
      <c r="K275" s="1250">
        <v>-3.3</v>
      </c>
      <c r="M275" s="232"/>
      <c r="N275" s="232"/>
      <c r="O275" s="232"/>
      <c r="P275" s="232"/>
      <c r="Q275" s="232"/>
      <c r="R275" s="232"/>
      <c r="S275" s="232"/>
      <c r="T275" s="232"/>
      <c r="U275" s="232"/>
      <c r="V275" s="232"/>
      <c r="W275" s="232"/>
      <c r="X275" s="232"/>
      <c r="Y275" s="232"/>
      <c r="AA275" s="173"/>
    </row>
    <row r="276" spans="3:27" s="172" customFormat="1" ht="15" customHeight="1">
      <c r="C276" s="1249"/>
      <c r="D276" s="173" t="str">
        <f>IF(Indice_index!$Z$1=1,"fevereiro","February")</f>
        <v>February</v>
      </c>
      <c r="E276" s="1250">
        <v>0.6</v>
      </c>
      <c r="F276" s="1250">
        <v>-2.8</v>
      </c>
      <c r="G276" s="1250">
        <v>0.4</v>
      </c>
      <c r="H276" s="1250">
        <v>0.2</v>
      </c>
      <c r="I276" s="1250">
        <v>0.3</v>
      </c>
      <c r="J276" s="1250"/>
      <c r="K276" s="1250">
        <v>-3.2</v>
      </c>
      <c r="M276" s="232"/>
      <c r="N276" s="232"/>
      <c r="O276" s="232"/>
      <c r="P276" s="232"/>
      <c r="Q276" s="232"/>
      <c r="R276" s="232"/>
      <c r="S276" s="232"/>
      <c r="T276" s="232"/>
      <c r="U276" s="232"/>
      <c r="V276" s="232"/>
      <c r="W276" s="232"/>
      <c r="X276" s="232"/>
      <c r="Y276" s="232"/>
      <c r="AA276" s="173"/>
    </row>
    <row r="277" spans="3:27" s="230" customFormat="1" ht="15" customHeight="1">
      <c r="C277" s="1203"/>
      <c r="D277" s="173" t="str">
        <f>IF(Indice_index!$Z$1=1,"março","March")</f>
        <v>March</v>
      </c>
      <c r="E277" s="1257">
        <v>0.39772048370223878</v>
      </c>
      <c r="F277" s="1257">
        <v>-3.1551925979209861</v>
      </c>
      <c r="G277" s="1257">
        <v>0.21430906515237735</v>
      </c>
      <c r="H277" s="1257">
        <v>-3.8999145732998231E-2</v>
      </c>
      <c r="I277" s="1257">
        <v>0.66886649424774824</v>
      </c>
      <c r="J277" s="1257"/>
      <c r="K277" s="1257">
        <v>-3.2832121226293762</v>
      </c>
      <c r="L277" s="172"/>
      <c r="M277" s="232"/>
      <c r="N277" s="232"/>
      <c r="O277" s="232"/>
      <c r="P277" s="232"/>
      <c r="Q277" s="232"/>
      <c r="R277" s="232"/>
      <c r="S277" s="232"/>
      <c r="T277" s="232"/>
      <c r="U277" s="232"/>
      <c r="V277" s="232"/>
      <c r="W277" s="232"/>
      <c r="X277" s="232"/>
      <c r="Y277" s="232"/>
      <c r="AA277" s="171"/>
    </row>
    <row r="278" spans="3:27" s="230" customFormat="1" ht="15" customHeight="1">
      <c r="C278" s="1203"/>
      <c r="D278" s="173" t="str">
        <f>IF(Indice_index!$Z$1=1,"abril","April")</f>
        <v>April</v>
      </c>
      <c r="E278" s="1250">
        <v>0.25830033505939687</v>
      </c>
      <c r="F278" s="1250">
        <v>-3.4313171283210853</v>
      </c>
      <c r="G278" s="1250">
        <v>0.19114791582232923</v>
      </c>
      <c r="H278" s="1250">
        <v>-0.1627344334923552</v>
      </c>
      <c r="I278" s="1250">
        <v>1.0791046107197124</v>
      </c>
      <c r="J278" s="1250"/>
      <c r="K278" s="1250">
        <v>-3.2977982636503667</v>
      </c>
      <c r="L278" s="172"/>
      <c r="M278" s="232"/>
      <c r="N278" s="232"/>
      <c r="O278" s="232"/>
      <c r="P278" s="232"/>
      <c r="Q278" s="232"/>
      <c r="R278" s="232"/>
      <c r="S278" s="232"/>
      <c r="T278" s="232"/>
      <c r="U278" s="232"/>
      <c r="V278" s="232"/>
      <c r="W278" s="232"/>
      <c r="X278" s="232"/>
      <c r="Y278" s="232"/>
      <c r="AA278" s="171"/>
    </row>
    <row r="279" spans="3:27" s="230" customFormat="1" ht="15" customHeight="1">
      <c r="C279" s="1203"/>
      <c r="D279" s="173" t="str">
        <f>IF(Indice_index!$Z$1=1,"maio","May")</f>
        <v>May</v>
      </c>
      <c r="E279" s="1258">
        <v>0.2207876300504866</v>
      </c>
      <c r="F279" s="1258">
        <v>-3.334230774680818</v>
      </c>
      <c r="G279" s="1258">
        <v>0.17852063880130956</v>
      </c>
      <c r="H279" s="1258">
        <v>-0.17800253626550369</v>
      </c>
      <c r="I279" s="1258">
        <v>1.152197213290469</v>
      </c>
      <c r="J279" s="1258"/>
      <c r="K279" s="1258">
        <v>-3.3000204532150335</v>
      </c>
      <c r="L279" s="172"/>
      <c r="M279" s="232"/>
      <c r="N279" s="232"/>
      <c r="O279" s="232"/>
      <c r="P279" s="232"/>
      <c r="Q279" s="232"/>
      <c r="R279" s="232"/>
      <c r="S279" s="232"/>
      <c r="T279" s="232"/>
      <c r="U279" s="232"/>
      <c r="V279" s="232"/>
      <c r="W279" s="232"/>
      <c r="X279" s="232"/>
      <c r="Y279" s="232"/>
      <c r="AA279" s="171"/>
    </row>
    <row r="280" spans="3:27" s="230" customFormat="1" ht="15" customHeight="1">
      <c r="C280" s="1203"/>
      <c r="D280" s="173" t="str">
        <f>IF(Indice_index!$Z$1=1,"junho","June")</f>
        <v>June</v>
      </c>
      <c r="E280" s="1259">
        <v>0.21228479719871607</v>
      </c>
      <c r="F280" s="1259">
        <v>-3.2242937531972946</v>
      </c>
      <c r="G280" s="1259">
        <v>-0.23539663425172311</v>
      </c>
      <c r="H280" s="1259">
        <v>-0.27594629482194893</v>
      </c>
      <c r="I280" s="1259">
        <v>1.1254019292604625</v>
      </c>
      <c r="J280" s="1259"/>
      <c r="K280" s="1259">
        <v>-3.3272507803585407</v>
      </c>
      <c r="L280" s="172"/>
      <c r="M280" s="232"/>
      <c r="N280" s="232"/>
      <c r="O280" s="232"/>
      <c r="P280" s="232"/>
      <c r="Q280" s="232"/>
      <c r="R280" s="232"/>
      <c r="S280" s="232"/>
      <c r="T280" s="232"/>
      <c r="U280" s="232"/>
      <c r="V280" s="232"/>
      <c r="W280" s="232"/>
      <c r="X280" s="232"/>
      <c r="Y280" s="232"/>
      <c r="AA280" s="171"/>
    </row>
    <row r="281" spans="3:27" s="230" customFormat="1" ht="15" customHeight="1">
      <c r="C281" s="1203"/>
      <c r="D281" s="173" t="str">
        <f>IF(Indice_index!$Z$1=1,"julho","July")</f>
        <v>July</v>
      </c>
      <c r="E281" s="1260">
        <v>0.23993394531060275</v>
      </c>
      <c r="F281" s="1260">
        <v>-3.1877785212921963</v>
      </c>
      <c r="G281" s="1260">
        <v>-0.28332547996182056</v>
      </c>
      <c r="H281" s="1260">
        <v>-0.26561614451989107</v>
      </c>
      <c r="I281" s="1260">
        <v>1.0344196265104315</v>
      </c>
      <c r="J281" s="1260"/>
      <c r="K281" s="1260">
        <v>-3.3993932357371381</v>
      </c>
      <c r="L281" s="172"/>
      <c r="M281" s="232"/>
      <c r="N281" s="232"/>
      <c r="O281" s="232"/>
      <c r="P281" s="232"/>
      <c r="Q281" s="232"/>
      <c r="R281" s="232"/>
      <c r="S281" s="232"/>
      <c r="AA281" s="171"/>
    </row>
    <row r="282" spans="3:27" s="230" customFormat="1" ht="15" customHeight="1">
      <c r="C282" s="1203"/>
      <c r="D282" s="173" t="str">
        <f>IF(Indice_index!$Z$1=1,"agosto","August")</f>
        <v>August</v>
      </c>
      <c r="E282" s="1261">
        <v>0.26411909370043218</v>
      </c>
      <c r="F282" s="1261">
        <v>-3.032509530132351</v>
      </c>
      <c r="G282" s="1261">
        <v>-0.32315047598377017</v>
      </c>
      <c r="H282" s="1261">
        <v>-0.2423552424940838</v>
      </c>
      <c r="I282" s="1261">
        <v>0.98736879558796553</v>
      </c>
      <c r="J282" s="1261"/>
      <c r="K282" s="1261">
        <v>-3.4113955126699826</v>
      </c>
      <c r="L282" s="172"/>
      <c r="M282" s="172"/>
      <c r="N282" s="172"/>
      <c r="O282" s="172"/>
      <c r="P282" s="172"/>
      <c r="AA282" s="171"/>
    </row>
    <row r="283" spans="3:27" s="230" customFormat="1" ht="15" customHeight="1">
      <c r="C283" s="1203"/>
      <c r="D283" s="173" t="str">
        <f>IF(Indice_index!$Z$1=1,"setembro","September")</f>
        <v>September</v>
      </c>
      <c r="E283" s="1262">
        <v>0.25519168458016966</v>
      </c>
      <c r="F283" s="1262">
        <v>-2.8822737300518582</v>
      </c>
      <c r="G283" s="1262">
        <v>-0.26112022385179467</v>
      </c>
      <c r="H283" s="1262">
        <v>-0.21472832701643321</v>
      </c>
      <c r="I283" s="1262">
        <v>0.6578362521112866</v>
      </c>
      <c r="J283" s="1262"/>
      <c r="K283" s="1262">
        <v>-3.3582285052894303</v>
      </c>
      <c r="L283" s="172"/>
      <c r="M283" s="172"/>
      <c r="N283" s="172"/>
      <c r="O283" s="172"/>
      <c r="P283" s="172"/>
      <c r="AA283" s="171"/>
    </row>
    <row r="284" spans="3:27" s="230" customFormat="1" ht="15" customHeight="1">
      <c r="C284" s="1203"/>
      <c r="D284" s="173" t="str">
        <f>IF(Indice_index!$Z$1=1,"outubro","October")</f>
        <v>October</v>
      </c>
      <c r="E284" s="1254">
        <v>0.26374744184356796</v>
      </c>
      <c r="F284" s="1254">
        <v>-2.8337929449615076</v>
      </c>
      <c r="G284" s="1254">
        <v>-0.34665911050286674</v>
      </c>
      <c r="H284" s="1254">
        <v>-0.22501958703739117</v>
      </c>
      <c r="I284" s="1254">
        <v>1.1966422575459985</v>
      </c>
      <c r="J284" s="1254"/>
      <c r="K284" s="1254">
        <v>-3.3137824309350044</v>
      </c>
      <c r="L284" s="172"/>
      <c r="M284" s="172"/>
      <c r="N284" s="172"/>
      <c r="O284" s="172"/>
      <c r="P284" s="172"/>
      <c r="AA284" s="171"/>
    </row>
    <row r="285" spans="3:27" s="230" customFormat="1" ht="15" customHeight="1">
      <c r="C285" s="1204"/>
      <c r="D285" s="173" t="str">
        <f>IF(Indice_index!$Z$1=1,"novembro","November")</f>
        <v>November</v>
      </c>
      <c r="E285" s="1255">
        <v>0.28203793591807585</v>
      </c>
      <c r="F285" s="1255">
        <v>-2.826346616011167</v>
      </c>
      <c r="G285" s="1255">
        <v>-0.37037260085878265</v>
      </c>
      <c r="H285" s="1255">
        <v>-0.2180070089099187</v>
      </c>
      <c r="I285" s="1255">
        <v>1.0269345104044763</v>
      </c>
      <c r="J285" s="1255"/>
      <c r="K285" s="1255">
        <v>-3.4625800216261737</v>
      </c>
      <c r="L285" s="172"/>
      <c r="M285" s="172"/>
      <c r="N285" s="172"/>
      <c r="O285" s="172"/>
      <c r="P285" s="172"/>
      <c r="AA285" s="171"/>
    </row>
    <row r="286" spans="3:27" s="230" customFormat="1" ht="15" customHeight="1">
      <c r="C286" s="1204"/>
      <c r="D286" s="173" t="str">
        <f>IF(Indice_index!$Z$1=1,"dezembro","December")</f>
        <v>December</v>
      </c>
      <c r="E286" s="1263">
        <v>0.35438674632299544</v>
      </c>
      <c r="F286" s="1263">
        <v>-2.8144429537946656</v>
      </c>
      <c r="G286" s="1263">
        <v>-0.407296442021923</v>
      </c>
      <c r="H286" s="1263">
        <v>-0.17945045610324259</v>
      </c>
      <c r="I286" s="1263">
        <v>0.99973691133912934</v>
      </c>
      <c r="J286" s="1263"/>
      <c r="K286" s="1263">
        <v>-3.5442363879733443</v>
      </c>
      <c r="L286" s="172"/>
      <c r="M286" s="172"/>
      <c r="N286" s="172"/>
      <c r="O286" s="172"/>
      <c r="P286" s="172"/>
      <c r="AA286" s="171"/>
    </row>
    <row r="287" spans="3:27" s="230" customFormat="1" ht="15" customHeight="1">
      <c r="C287" s="1203" t="s">
        <v>75</v>
      </c>
      <c r="D287" s="172"/>
      <c r="E287" s="172"/>
      <c r="F287" s="172"/>
      <c r="G287" s="172"/>
      <c r="H287" s="172"/>
      <c r="I287" s="172"/>
      <c r="K287" s="172"/>
      <c r="L287" s="172"/>
      <c r="M287" s="232"/>
      <c r="N287" s="232"/>
      <c r="O287" s="232"/>
      <c r="P287" s="232"/>
      <c r="Q287" s="232"/>
      <c r="R287" s="232"/>
      <c r="S287" s="232"/>
      <c r="AA287" s="171"/>
    </row>
    <row r="288" spans="3:27" s="172" customFormat="1" ht="15" customHeight="1">
      <c r="C288" s="1249"/>
      <c r="D288" s="173" t="str">
        <f>IF(Indice_index!$Z$1=1,"janeiro","January")</f>
        <v>January</v>
      </c>
      <c r="E288" s="1264">
        <v>0.45754735251965756</v>
      </c>
      <c r="F288" s="1264">
        <v>-2.8359050745491619</v>
      </c>
      <c r="G288" s="1264">
        <v>-0.46889859992536143</v>
      </c>
      <c r="H288" s="1264">
        <v>-0.13110101718965692</v>
      </c>
      <c r="I288" s="1264">
        <v>1.6511065006915748</v>
      </c>
      <c r="J288" s="1264"/>
      <c r="K288" s="1264">
        <v>-3.6132175987724247</v>
      </c>
      <c r="M288" s="232"/>
      <c r="N288" s="232"/>
      <c r="O288" s="232"/>
      <c r="P288" s="232"/>
      <c r="Q288" s="232"/>
      <c r="R288" s="232"/>
      <c r="S288" s="232"/>
      <c r="T288" s="232"/>
      <c r="U288" s="232"/>
      <c r="V288" s="232"/>
      <c r="W288" s="232"/>
      <c r="X288" s="232"/>
      <c r="Y288" s="232"/>
      <c r="AA288" s="173"/>
    </row>
    <row r="289" spans="3:27" s="172" customFormat="1" ht="15" customHeight="1">
      <c r="C289" s="1249"/>
      <c r="D289" s="173" t="str">
        <f>IF(Indice_index!$Z$1=1,"fevereiro","February")</f>
        <v>February</v>
      </c>
      <c r="E289" s="1265">
        <v>0.60177600263685982</v>
      </c>
      <c r="F289" s="1265">
        <v>-2.8556917942392803</v>
      </c>
      <c r="G289" s="1265">
        <v>-0.4489087600477229</v>
      </c>
      <c r="H289" s="1265">
        <v>-3.5522058426063922E-2</v>
      </c>
      <c r="I289" s="1265">
        <v>1.5953203935123637</v>
      </c>
      <c r="J289" s="1265"/>
      <c r="K289" s="1265">
        <v>-3.6276100493983714</v>
      </c>
      <c r="M289" s="232"/>
      <c r="N289" s="232"/>
      <c r="O289" s="232"/>
      <c r="P289" s="232"/>
      <c r="Q289" s="232"/>
      <c r="R289" s="232"/>
      <c r="S289" s="232"/>
      <c r="T289" s="232"/>
      <c r="U289" s="232"/>
      <c r="V289" s="232"/>
      <c r="W289" s="232"/>
      <c r="X289" s="232"/>
      <c r="Y289" s="232"/>
      <c r="AA289" s="173"/>
    </row>
    <row r="290" spans="3:27" s="230" customFormat="1" ht="15" customHeight="1">
      <c r="C290" s="1203"/>
      <c r="D290" s="173" t="str">
        <f>IF(Indice_index!$Z$1=1,"março","March")</f>
        <v>March</v>
      </c>
      <c r="E290" s="1266">
        <v>0.82022160799382104</v>
      </c>
      <c r="F290" s="1266">
        <v>-2.7890244968104629</v>
      </c>
      <c r="G290" s="1266">
        <v>-0.24768026290353762</v>
      </c>
      <c r="H290" s="1266">
        <v>0.16286947528780832</v>
      </c>
      <c r="I290" s="1266">
        <v>1.6654854712969485</v>
      </c>
      <c r="J290" s="1266"/>
      <c r="K290" s="1266">
        <v>-3.6502333228559682</v>
      </c>
      <c r="L290" s="172"/>
      <c r="M290" s="232"/>
      <c r="N290" s="232"/>
      <c r="O290" s="232"/>
      <c r="P290" s="232"/>
      <c r="Q290" s="232"/>
      <c r="R290" s="232"/>
      <c r="S290" s="232"/>
      <c r="T290" s="232"/>
      <c r="U290" s="232"/>
      <c r="V290" s="232"/>
      <c r="W290" s="232"/>
      <c r="X290" s="232"/>
      <c r="Y290" s="232"/>
      <c r="AA290" s="171"/>
    </row>
    <row r="291" spans="3:27" s="230" customFormat="1" ht="15" customHeight="1">
      <c r="C291" s="1203"/>
      <c r="D291" s="173" t="str">
        <f>IF(Indice_index!$Z$1=1,"abril","April")</f>
        <v>April</v>
      </c>
      <c r="E291" s="1250">
        <v>0.9306451808912708</v>
      </c>
      <c r="F291" s="1250">
        <v>-2.6078557630392787</v>
      </c>
      <c r="G291" s="1250">
        <v>-0.22157420320829788</v>
      </c>
      <c r="H291" s="1250">
        <v>0.26030368763557482</v>
      </c>
      <c r="I291" s="1250">
        <v>1.4822657490735798</v>
      </c>
      <c r="J291" s="1250"/>
      <c r="K291" s="1250">
        <v>-3.7746599072397151</v>
      </c>
      <c r="L291" s="172"/>
      <c r="M291" s="232"/>
      <c r="N291" s="232"/>
      <c r="O291" s="232"/>
      <c r="P291" s="232"/>
      <c r="Q291" s="232"/>
      <c r="R291" s="232"/>
      <c r="S291" s="232"/>
      <c r="T291" s="232"/>
      <c r="U291" s="232"/>
      <c r="V291" s="232"/>
      <c r="W291" s="232"/>
      <c r="X291" s="232"/>
      <c r="Y291" s="232"/>
      <c r="AA291" s="171"/>
    </row>
    <row r="292" spans="3:27" s="230" customFormat="1" ht="15" customHeight="1">
      <c r="C292" s="1203"/>
      <c r="D292" s="173" t="str">
        <f>IF(Indice_index!$Z$1=1,"maio","May")</f>
        <v>May</v>
      </c>
      <c r="E292" s="1258">
        <v>0.97617491966413161</v>
      </c>
      <c r="F292" s="1258">
        <v>-2.7250872203817176</v>
      </c>
      <c r="G292" s="1258">
        <v>-0.40473112563579033</v>
      </c>
      <c r="H292" s="1258">
        <v>0.23083990090926135</v>
      </c>
      <c r="I292" s="1258">
        <v>0.653421633554092</v>
      </c>
      <c r="J292" s="1258"/>
      <c r="K292" s="1258">
        <v>-3.8458733261370601</v>
      </c>
      <c r="L292" s="172"/>
      <c r="M292" s="232"/>
      <c r="N292" s="232"/>
      <c r="O292" s="232"/>
      <c r="P292" s="232"/>
      <c r="Q292" s="232"/>
      <c r="R292" s="232"/>
      <c r="S292" s="232"/>
      <c r="T292" s="232"/>
      <c r="U292" s="232"/>
      <c r="V292" s="232"/>
      <c r="W292" s="232"/>
      <c r="X292" s="232"/>
      <c r="Y292" s="232"/>
      <c r="AA292" s="171"/>
    </row>
    <row r="293" spans="3:27" s="230" customFormat="1" ht="15" hidden="1" customHeight="1">
      <c r="C293" s="1203"/>
      <c r="D293" s="173" t="str">
        <f>IF(Indice_index!$Z$1=1,"junho","June")</f>
        <v>June</v>
      </c>
      <c r="E293" s="1259"/>
      <c r="F293" s="1259"/>
      <c r="G293" s="1259"/>
      <c r="H293" s="1259"/>
      <c r="I293" s="1259"/>
      <c r="J293" s="1259"/>
      <c r="K293" s="1259"/>
      <c r="L293" s="172"/>
      <c r="M293" s="232"/>
      <c r="N293" s="232"/>
      <c r="O293" s="232"/>
      <c r="P293" s="232"/>
      <c r="Q293" s="232"/>
      <c r="R293" s="232"/>
      <c r="S293" s="232"/>
      <c r="T293" s="232"/>
      <c r="U293" s="232"/>
      <c r="V293" s="232"/>
      <c r="W293" s="232"/>
      <c r="X293" s="232"/>
      <c r="Y293" s="232"/>
      <c r="AA293" s="171"/>
    </row>
    <row r="294" spans="3:27" s="230" customFormat="1" ht="15" hidden="1" customHeight="1">
      <c r="C294" s="1203"/>
      <c r="D294" s="173" t="str">
        <f>IF(Indice_index!$Z$1=1,"julho","July")</f>
        <v>July</v>
      </c>
      <c r="E294" s="1260"/>
      <c r="F294" s="1260"/>
      <c r="G294" s="1260"/>
      <c r="H294" s="1260"/>
      <c r="I294" s="1260"/>
      <c r="J294" s="1260"/>
      <c r="K294" s="1260"/>
      <c r="L294" s="172"/>
      <c r="M294" s="232"/>
      <c r="N294" s="232"/>
      <c r="O294" s="232"/>
      <c r="P294" s="232"/>
      <c r="Q294" s="232"/>
      <c r="R294" s="232"/>
      <c r="S294" s="232"/>
      <c r="AA294" s="171"/>
    </row>
    <row r="295" spans="3:27" s="230" customFormat="1" ht="15" hidden="1" customHeight="1">
      <c r="C295" s="1203"/>
      <c r="D295" s="173" t="str">
        <f>IF(Indice_index!$Z$1=1,"agosto","August")</f>
        <v>August</v>
      </c>
      <c r="E295" s="1261"/>
      <c r="F295" s="1261"/>
      <c r="G295" s="1261"/>
      <c r="H295" s="1261"/>
      <c r="I295" s="1261"/>
      <c r="J295" s="1261"/>
      <c r="K295" s="1261"/>
      <c r="L295" s="172"/>
      <c r="M295" s="172"/>
      <c r="N295" s="172"/>
      <c r="O295" s="172"/>
      <c r="P295" s="172"/>
      <c r="AA295" s="171"/>
    </row>
    <row r="296" spans="3:27" s="230" customFormat="1" ht="15" hidden="1" customHeight="1">
      <c r="C296" s="1203"/>
      <c r="D296" s="173" t="str">
        <f>IF(Indice_index!$Z$1=1,"setembro","September")</f>
        <v>September</v>
      </c>
      <c r="E296" s="1262"/>
      <c r="F296" s="1262"/>
      <c r="G296" s="1262"/>
      <c r="H296" s="1262"/>
      <c r="I296" s="1262"/>
      <c r="J296" s="1262"/>
      <c r="K296" s="1262"/>
      <c r="L296" s="172"/>
      <c r="M296" s="172"/>
      <c r="N296" s="172"/>
      <c r="O296" s="172"/>
      <c r="P296" s="172"/>
      <c r="AA296" s="171"/>
    </row>
    <row r="297" spans="3:27" s="230" customFormat="1" ht="15" hidden="1" customHeight="1">
      <c r="C297" s="1203"/>
      <c r="D297" s="173" t="str">
        <f>IF(Indice_index!$Z$1=1,"outubro","October")</f>
        <v>October</v>
      </c>
      <c r="E297" s="1254"/>
      <c r="F297" s="1254"/>
      <c r="G297" s="1254"/>
      <c r="H297" s="1254"/>
      <c r="I297" s="1254"/>
      <c r="J297" s="1254"/>
      <c r="K297" s="1254"/>
      <c r="L297" s="172"/>
      <c r="M297" s="172"/>
      <c r="N297" s="172"/>
      <c r="O297" s="172"/>
      <c r="P297" s="172"/>
      <c r="AA297" s="171"/>
    </row>
    <row r="298" spans="3:27" s="230" customFormat="1" ht="15" hidden="1" customHeight="1">
      <c r="C298" s="1204"/>
      <c r="D298" s="173" t="str">
        <f>IF(Indice_index!$Z$1=1,"novembro","November")</f>
        <v>November</v>
      </c>
      <c r="E298" s="1255"/>
      <c r="F298" s="1255"/>
      <c r="G298" s="1255"/>
      <c r="H298" s="1255"/>
      <c r="I298" s="1255"/>
      <c r="J298" s="1255"/>
      <c r="K298" s="1255"/>
      <c r="L298" s="172"/>
      <c r="M298" s="172"/>
      <c r="N298" s="172"/>
      <c r="O298" s="172"/>
      <c r="P298" s="172"/>
      <c r="AA298" s="171"/>
    </row>
    <row r="299" spans="3:27" s="230" customFormat="1" ht="15" hidden="1" customHeight="1">
      <c r="C299" s="1204"/>
      <c r="D299" s="173" t="str">
        <f>IF(Indice_index!$Z$1=1,"dezembro","December")</f>
        <v>December</v>
      </c>
      <c r="E299" s="1263"/>
      <c r="F299" s="1263"/>
      <c r="G299" s="1263"/>
      <c r="H299" s="1263"/>
      <c r="I299" s="1263"/>
      <c r="J299" s="1263"/>
      <c r="K299" s="1263"/>
      <c r="L299" s="172"/>
      <c r="M299" s="172"/>
      <c r="N299" s="172"/>
      <c r="O299" s="172"/>
      <c r="P299" s="172"/>
      <c r="AA299" s="171"/>
    </row>
    <row r="300" spans="3:27" s="230" customFormat="1" ht="3" customHeight="1">
      <c r="C300" s="1196"/>
      <c r="D300" s="1197"/>
      <c r="E300" s="1197"/>
      <c r="F300" s="1197"/>
      <c r="G300" s="1197"/>
      <c r="H300" s="1197"/>
      <c r="I300" s="1197"/>
      <c r="K300" s="1241"/>
      <c r="L300" s="172"/>
      <c r="M300" s="172"/>
      <c r="N300" s="172"/>
      <c r="O300" s="172"/>
      <c r="P300" s="172"/>
      <c r="AA300" s="171"/>
    </row>
    <row r="301" spans="3:27" s="230" customFormat="1" ht="15" customHeight="1">
      <c r="C301" s="1204"/>
      <c r="D301" s="172"/>
      <c r="E301" s="172"/>
      <c r="F301" s="172"/>
      <c r="G301" s="172"/>
      <c r="H301" s="172"/>
      <c r="I301" s="172"/>
      <c r="K301" s="172"/>
      <c r="L301" s="172"/>
      <c r="M301" s="172"/>
      <c r="N301" s="172"/>
      <c r="O301" s="172"/>
      <c r="P301" s="172"/>
      <c r="AA301" s="171"/>
    </row>
    <row r="302" spans="3:27" s="230" customFormat="1" ht="15" customHeight="1">
      <c r="C302" s="1204"/>
      <c r="D302" s="172"/>
      <c r="E302" s="172"/>
      <c r="F302" s="172"/>
      <c r="G302" s="172"/>
      <c r="H302" s="172"/>
      <c r="I302" s="172"/>
      <c r="K302" s="172"/>
      <c r="L302" s="172"/>
      <c r="M302" s="172"/>
      <c r="N302" s="172"/>
      <c r="O302" s="172"/>
      <c r="P302" s="172"/>
      <c r="AA302" s="171"/>
    </row>
    <row r="303" spans="3:27" s="230" customFormat="1" ht="15" customHeight="1">
      <c r="C303" s="1267" t="str">
        <f>IF(Indice_index!$Z$1=1,"Pensionistas de Aposentação/Reforma - Novos e Abatidos","Retirement Pensioners - New and extinct")</f>
        <v>Retirement Pensioners - New and extinct</v>
      </c>
      <c r="D303" s="1242"/>
      <c r="E303" s="172"/>
      <c r="F303" s="1242"/>
      <c r="G303" s="1242"/>
      <c r="H303" s="172"/>
      <c r="I303" s="172"/>
      <c r="J303" s="172"/>
      <c r="K303" s="172"/>
      <c r="L303" s="172"/>
      <c r="M303" s="172"/>
      <c r="N303" s="172"/>
      <c r="O303" s="86"/>
      <c r="X303" s="50"/>
      <c r="Y303" s="50"/>
      <c r="Z303" s="50"/>
      <c r="AA303" s="171"/>
    </row>
    <row r="304" spans="3:27" s="230" customFormat="1" ht="11.25" customHeight="1">
      <c r="C304" s="1194"/>
      <c r="D304" s="1268"/>
      <c r="E304" s="1757" t="str">
        <f>IF(Indice_index!$Z$1=1,"Número","Number")</f>
        <v>Number</v>
      </c>
      <c r="F304" s="1757"/>
      <c r="G304" s="1757"/>
      <c r="H304" s="1757"/>
      <c r="I304" s="1757"/>
      <c r="J304" s="1728" t="str">
        <f>IF(Indice_index!$Z$1=1,"Despesa com pensões (€)","Expense with Pensions")</f>
        <v>Expense with Pensions</v>
      </c>
      <c r="K304" s="1728"/>
      <c r="L304" s="1728"/>
      <c r="M304" s="1728"/>
      <c r="N304" s="1728"/>
      <c r="O304" s="1758" t="str">
        <f>IF(Indice_index!$Z$1=1,"Pensão média nova Aposentação/Reforma (€)"," Average Value paid per new Retirment Pensioner")</f>
        <v xml:space="preserve"> Average Value paid per new Retirment Pensioner</v>
      </c>
      <c r="P304" s="1759" t="str">
        <f>IF(Indice_index!$Z$1=1,"Pensão média nova Sobrevivência e Outras (€)"," Average Value paid per new Survival and Others Pensioner")</f>
        <v xml:space="preserve"> Average Value paid per new Survival and Others Pensioner</v>
      </c>
      <c r="X304" s="50"/>
      <c r="Y304" s="50"/>
      <c r="Z304" s="50"/>
      <c r="AA304" s="171"/>
    </row>
    <row r="305" spans="3:27" s="230" customFormat="1" ht="11.25" customHeight="1">
      <c r="C305" s="1267"/>
      <c r="D305" s="1269"/>
      <c r="E305" s="1757" t="str">
        <f>IF(Indice_index!$Z$1=1,"Novos","New")</f>
        <v>New</v>
      </c>
      <c r="F305" s="1757"/>
      <c r="G305" s="1757"/>
      <c r="H305" s="1757"/>
      <c r="I305" s="1758" t="str">
        <f>IF(Indice_index!$Z$1=1,"Abonos abatidos de Aposentação /Reforma","Allowances deducted from Retirement / Pension")</f>
        <v>Allowances deducted from Retirement / Pension</v>
      </c>
      <c r="J305" s="1728" t="str">
        <f>IF(Indice_index!$Z$1=1,"Novos","New")</f>
        <v>New</v>
      </c>
      <c r="K305" s="1728"/>
      <c r="L305" s="1728"/>
      <c r="M305" s="1728"/>
      <c r="N305" s="1758" t="str">
        <f>IF(Indice_index!$Z$1=1,"Abonos abatidos de Aposentação /Reforma","Allowances deducted from Retirement / Pension")</f>
        <v>Allowances deducted from Retirement / Pension</v>
      </c>
      <c r="O305" s="1758"/>
      <c r="P305" s="1759"/>
      <c r="R305" s="97"/>
      <c r="S305" s="97"/>
      <c r="T305" s="97"/>
      <c r="X305" s="50"/>
      <c r="Y305" s="50"/>
      <c r="Z305" s="50"/>
      <c r="AA305" s="171"/>
    </row>
    <row r="306" spans="3:27" s="230" customFormat="1" ht="44.25" customHeight="1">
      <c r="C306" s="1196"/>
      <c r="D306" s="1270"/>
      <c r="E306" s="1198" t="str">
        <f>IF(Indice_index!$Z$1=1,"Velhice e Outros Motivos","Old age and other Reasons")</f>
        <v>Old age and other Reasons</v>
      </c>
      <c r="F306" s="1199" t="str">
        <f>IF(Indice_index!$Z$1=1,"Invalidez","Disability")</f>
        <v>Disability</v>
      </c>
      <c r="G306" s="1198" t="str">
        <f>IF(Indice_index!$Z$1=1,"Sobrevivência e Outros","Survival and Others")</f>
        <v>Survival and Others</v>
      </c>
      <c r="H306" s="1198" t="str">
        <f>IF(Indice_index!$Z$1=1,"Total de Pensionistas","Total of Pensioners")</f>
        <v>Total of Pensioners</v>
      </c>
      <c r="I306" s="1758"/>
      <c r="J306" s="1198" t="str">
        <f>IF(Indice_index!$Z$1=1,"Velhice e Outros Motivos","Old age and other Reasons")</f>
        <v>Old age and other Reasons</v>
      </c>
      <c r="K306" s="1199" t="str">
        <f>IF(Indice_index!$Z$1=1,"Invalidez","Disability")</f>
        <v>Disability</v>
      </c>
      <c r="L306" s="1198" t="str">
        <f>IF(Indice_index!$Z$1=1,"Sobrevivência e Outros","Survival and Others")</f>
        <v>Survival and Others</v>
      </c>
      <c r="M306" s="1198" t="str">
        <f>IF(Indice_index!$Z$1=1,"Total","Total")</f>
        <v>Total</v>
      </c>
      <c r="N306" s="1758"/>
      <c r="O306" s="1758"/>
      <c r="P306" s="1759"/>
      <c r="R306" s="97"/>
      <c r="S306" s="97"/>
      <c r="T306" s="97"/>
      <c r="X306" s="50"/>
      <c r="Y306" s="50"/>
      <c r="Z306" s="50"/>
      <c r="AA306" s="171"/>
    </row>
    <row r="307" spans="3:27" s="230" customFormat="1" hidden="1">
      <c r="C307" s="1200" t="s">
        <v>11</v>
      </c>
      <c r="D307" s="1201"/>
      <c r="E307" s="1271"/>
      <c r="F307" s="1271"/>
      <c r="G307" s="1271"/>
      <c r="H307" s="1271"/>
      <c r="I307" s="1271"/>
      <c r="J307" s="1164"/>
      <c r="K307" s="1164"/>
      <c r="L307" s="1164"/>
      <c r="M307" s="172"/>
      <c r="N307" s="1164"/>
      <c r="O307" s="1164"/>
      <c r="X307" s="50"/>
      <c r="Y307" s="50"/>
      <c r="Z307" s="50"/>
      <c r="AA307" s="171"/>
    </row>
    <row r="308" spans="3:27" s="230" customFormat="1" hidden="1">
      <c r="C308" s="1200"/>
      <c r="D308" s="173" t="str">
        <f>IF(Indice_index!$Z$1=1,"janeiro","January")</f>
        <v>January</v>
      </c>
      <c r="E308" s="1271">
        <v>1471</v>
      </c>
      <c r="F308" s="1271">
        <v>170</v>
      </c>
      <c r="G308" s="1271">
        <v>513</v>
      </c>
      <c r="H308" s="1271">
        <v>2154</v>
      </c>
      <c r="I308" s="1271">
        <v>912</v>
      </c>
      <c r="J308" s="1164">
        <v>2253347.4200000004</v>
      </c>
      <c r="K308" s="1164">
        <v>179900.55</v>
      </c>
      <c r="L308" s="1164">
        <v>249524.43</v>
      </c>
      <c r="M308" s="172">
        <v>2682772.4000000004</v>
      </c>
      <c r="N308" s="1164">
        <v>916372.71</v>
      </c>
      <c r="O308" s="1164">
        <v>1482.8</v>
      </c>
      <c r="P308" s="230">
        <v>486.4</v>
      </c>
      <c r="X308" s="50"/>
      <c r="Y308" s="50"/>
      <c r="Z308" s="50"/>
      <c r="AA308" s="171"/>
    </row>
    <row r="309" spans="3:27" s="230" customFormat="1" hidden="1">
      <c r="C309" s="1200"/>
      <c r="D309" s="173" t="str">
        <f>IF(Indice_index!$Z$1=1,"fevereiro","February")</f>
        <v>February</v>
      </c>
      <c r="E309" s="1271">
        <v>1939</v>
      </c>
      <c r="F309" s="1271">
        <v>209</v>
      </c>
      <c r="G309" s="1271">
        <v>781</v>
      </c>
      <c r="H309" s="1271">
        <v>2929</v>
      </c>
      <c r="I309" s="1271">
        <v>1065</v>
      </c>
      <c r="J309" s="1164">
        <v>2945192.88</v>
      </c>
      <c r="K309" s="1164">
        <v>229212.15</v>
      </c>
      <c r="L309" s="1164">
        <v>361995.2</v>
      </c>
      <c r="M309" s="172">
        <v>3536400.23</v>
      </c>
      <c r="N309" s="1164">
        <v>1127751.53</v>
      </c>
      <c r="O309" s="1164">
        <v>1477.8</v>
      </c>
      <c r="P309" s="230">
        <v>463.5</v>
      </c>
      <c r="X309" s="50"/>
      <c r="Y309" s="50"/>
      <c r="Z309" s="50"/>
      <c r="AA309" s="171"/>
    </row>
    <row r="310" spans="3:27" s="230" customFormat="1" hidden="1">
      <c r="C310" s="1200"/>
      <c r="D310" s="173" t="str">
        <f>IF(Indice_index!$Z$1=1,"março","March")</f>
        <v>March</v>
      </c>
      <c r="E310" s="1271">
        <v>1335</v>
      </c>
      <c r="F310" s="1271">
        <v>244</v>
      </c>
      <c r="G310" s="1271">
        <v>917</v>
      </c>
      <c r="H310" s="1271">
        <v>2496</v>
      </c>
      <c r="I310" s="1271">
        <v>1072</v>
      </c>
      <c r="J310" s="1164">
        <v>1800757.79</v>
      </c>
      <c r="K310" s="1164">
        <v>270853.71999999997</v>
      </c>
      <c r="L310" s="1164">
        <v>458403.63</v>
      </c>
      <c r="M310" s="172">
        <v>2530015.14</v>
      </c>
      <c r="N310" s="1164">
        <v>1000274.44</v>
      </c>
      <c r="O310" s="1164">
        <v>1312</v>
      </c>
      <c r="P310" s="230">
        <v>499.9</v>
      </c>
      <c r="X310" s="50"/>
      <c r="Y310" s="50"/>
      <c r="Z310" s="50"/>
      <c r="AA310" s="171"/>
    </row>
    <row r="311" spans="3:27" s="230" customFormat="1" hidden="1">
      <c r="C311" s="1200"/>
      <c r="D311" s="173" t="str">
        <f>IF(Indice_index!$Z$1=1,"abril","April")</f>
        <v>April</v>
      </c>
      <c r="E311" s="1271">
        <v>1515</v>
      </c>
      <c r="F311" s="1271">
        <v>271</v>
      </c>
      <c r="G311" s="1271">
        <v>913</v>
      </c>
      <c r="H311" s="1271">
        <v>2699</v>
      </c>
      <c r="I311" s="1271">
        <v>1281</v>
      </c>
      <c r="J311" s="1164">
        <v>1784019.16</v>
      </c>
      <c r="K311" s="1164">
        <v>320223.28999999998</v>
      </c>
      <c r="L311" s="1164">
        <v>410277</v>
      </c>
      <c r="M311" s="172">
        <v>2514519.4499999997</v>
      </c>
      <c r="N311" s="1164">
        <v>1232238.1499999999</v>
      </c>
      <c r="O311" s="1164">
        <v>1178.2</v>
      </c>
      <c r="P311" s="230">
        <v>449.4</v>
      </c>
      <c r="X311" s="50"/>
      <c r="Y311" s="50"/>
      <c r="Z311" s="50"/>
      <c r="AA311" s="171"/>
    </row>
    <row r="312" spans="3:27" s="230" customFormat="1" hidden="1">
      <c r="C312" s="1200"/>
      <c r="D312" s="173" t="str">
        <f>IF(Indice_index!$Z$1=1,"maio","May")</f>
        <v>May</v>
      </c>
      <c r="E312" s="1271">
        <v>1724</v>
      </c>
      <c r="F312" s="1271">
        <v>157</v>
      </c>
      <c r="G312" s="1271">
        <v>787</v>
      </c>
      <c r="H312" s="1271">
        <v>2668</v>
      </c>
      <c r="I312" s="1271">
        <v>1070</v>
      </c>
      <c r="J312" s="1164">
        <v>1822949.91</v>
      </c>
      <c r="K312" s="1164">
        <v>168669.13</v>
      </c>
      <c r="L312" s="1164">
        <v>376886.49</v>
      </c>
      <c r="M312" s="172">
        <v>2368505.5300000003</v>
      </c>
      <c r="N312" s="1164">
        <v>1044103.32</v>
      </c>
      <c r="O312" s="1164">
        <v>1058.8</v>
      </c>
      <c r="P312" s="230">
        <v>478.9</v>
      </c>
      <c r="X312" s="50"/>
      <c r="Y312" s="50"/>
      <c r="Z312" s="50"/>
      <c r="AA312" s="171"/>
    </row>
    <row r="313" spans="3:27" s="230" customFormat="1" hidden="1">
      <c r="C313" s="1200"/>
      <c r="D313" s="173" t="str">
        <f>IF(Indice_index!$Z$1=1,"junho","June")</f>
        <v>June</v>
      </c>
      <c r="E313" s="1271">
        <v>1732</v>
      </c>
      <c r="F313" s="1271">
        <v>222</v>
      </c>
      <c r="G313" s="1271">
        <v>872</v>
      </c>
      <c r="H313" s="1271">
        <v>2826</v>
      </c>
      <c r="I313" s="1271">
        <v>977</v>
      </c>
      <c r="J313" s="1164">
        <v>1733424.6700000002</v>
      </c>
      <c r="K313" s="1164">
        <v>266897.39999999997</v>
      </c>
      <c r="L313" s="1164">
        <v>419051.86</v>
      </c>
      <c r="M313" s="172">
        <v>2419373.9300000002</v>
      </c>
      <c r="N313" s="1164">
        <v>942522.85</v>
      </c>
      <c r="O313" s="1164">
        <v>1023.7</v>
      </c>
      <c r="P313" s="230">
        <v>480.6</v>
      </c>
      <c r="X313" s="50"/>
      <c r="Y313" s="50"/>
      <c r="Z313" s="50"/>
      <c r="AA313" s="171"/>
    </row>
    <row r="314" spans="3:27" s="230" customFormat="1" hidden="1">
      <c r="C314" s="1200"/>
      <c r="D314" s="173" t="str">
        <f>IF(Indice_index!$Z$1=1,"julho","July")</f>
        <v>July</v>
      </c>
      <c r="E314" s="1271">
        <v>1581</v>
      </c>
      <c r="F314" s="1271">
        <v>182</v>
      </c>
      <c r="G314" s="1271">
        <v>617</v>
      </c>
      <c r="H314" s="1271">
        <v>2380</v>
      </c>
      <c r="I314" s="1271">
        <v>849</v>
      </c>
      <c r="J314" s="1164">
        <v>1800225.19</v>
      </c>
      <c r="K314" s="1164">
        <v>184002.3</v>
      </c>
      <c r="L314" s="1164">
        <v>274219.46999999997</v>
      </c>
      <c r="M314" s="172">
        <v>2258446.96</v>
      </c>
      <c r="N314" s="1164">
        <v>858439.14</v>
      </c>
      <c r="O314" s="1164">
        <v>1125.5</v>
      </c>
      <c r="P314" s="230">
        <v>444.4</v>
      </c>
      <c r="X314" s="50"/>
      <c r="Y314" s="50"/>
      <c r="Z314" s="50"/>
      <c r="AA314" s="171"/>
    </row>
    <row r="315" spans="3:27" s="230" customFormat="1" hidden="1">
      <c r="C315" s="1200"/>
      <c r="D315" s="173" t="str">
        <f>IF(Indice_index!$Z$1=1,"agosto","August")</f>
        <v>August</v>
      </c>
      <c r="E315" s="1271">
        <v>1669</v>
      </c>
      <c r="F315" s="1271">
        <v>158</v>
      </c>
      <c r="G315" s="1271">
        <v>772</v>
      </c>
      <c r="H315" s="1271">
        <v>2599</v>
      </c>
      <c r="I315" s="1271">
        <v>741</v>
      </c>
      <c r="J315" s="1164">
        <v>1727876</v>
      </c>
      <c r="K315" s="1164">
        <v>185126</v>
      </c>
      <c r="L315" s="1164">
        <v>352719.34</v>
      </c>
      <c r="M315" s="172">
        <v>2265721.34</v>
      </c>
      <c r="N315" s="1164">
        <v>778258.21</v>
      </c>
      <c r="O315" s="1164">
        <v>1047.0999999999999</v>
      </c>
      <c r="P315" s="230">
        <v>456.9</v>
      </c>
      <c r="X315" s="50"/>
      <c r="Y315" s="50"/>
      <c r="Z315" s="50"/>
      <c r="AA315" s="171"/>
    </row>
    <row r="316" spans="3:27" s="230" customFormat="1" hidden="1">
      <c r="C316" s="1200"/>
      <c r="D316" s="173" t="str">
        <f>IF(Indice_index!$Z$1=1,"setembro","September")</f>
        <v>September</v>
      </c>
      <c r="E316" s="1271">
        <v>1866</v>
      </c>
      <c r="F316" s="1271">
        <v>170</v>
      </c>
      <c r="G316" s="1271">
        <v>644</v>
      </c>
      <c r="H316" s="1271">
        <v>2680</v>
      </c>
      <c r="I316" s="1271">
        <v>920</v>
      </c>
      <c r="J316" s="1164">
        <v>2272099.3400000003</v>
      </c>
      <c r="K316" s="1164">
        <v>175025.16999999998</v>
      </c>
      <c r="L316" s="1164">
        <v>302947.55</v>
      </c>
      <c r="M316" s="172">
        <v>2750072.06</v>
      </c>
      <c r="N316" s="1164">
        <v>888055.27</v>
      </c>
      <c r="O316" s="1164">
        <v>1201.9000000000001</v>
      </c>
      <c r="P316" s="230">
        <v>470.4</v>
      </c>
      <c r="X316" s="50"/>
      <c r="Y316" s="50"/>
      <c r="Z316" s="50"/>
      <c r="AA316" s="171"/>
    </row>
    <row r="317" spans="3:27" s="230" customFormat="1" hidden="1">
      <c r="C317" s="1200"/>
      <c r="D317" s="173" t="str">
        <f>IF(Indice_index!$Z$1=1,"outubro","October")</f>
        <v>October</v>
      </c>
      <c r="E317" s="1271">
        <v>1561</v>
      </c>
      <c r="F317" s="1271">
        <v>188</v>
      </c>
      <c r="G317" s="1271">
        <v>580</v>
      </c>
      <c r="H317" s="1271">
        <v>2329</v>
      </c>
      <c r="I317" s="1271">
        <v>832</v>
      </c>
      <c r="J317" s="1164">
        <v>2178361.13</v>
      </c>
      <c r="K317" s="1164">
        <v>234236.07</v>
      </c>
      <c r="L317" s="1164">
        <v>288827.51</v>
      </c>
      <c r="M317" s="172">
        <v>2701424.71</v>
      </c>
      <c r="N317" s="1164">
        <v>809217.05</v>
      </c>
      <c r="O317" s="1164">
        <v>1379.4</v>
      </c>
      <c r="P317" s="230">
        <v>498</v>
      </c>
      <c r="X317" s="50"/>
      <c r="Y317" s="50"/>
      <c r="Z317" s="50"/>
      <c r="AA317" s="171"/>
    </row>
    <row r="318" spans="3:27" s="230" customFormat="1" hidden="1">
      <c r="C318" s="1200"/>
      <c r="D318" s="173" t="str">
        <f>IF(Indice_index!$Z$1=1,"novembro","November")</f>
        <v>November</v>
      </c>
      <c r="E318" s="1271">
        <v>1234</v>
      </c>
      <c r="F318" s="1271">
        <v>61</v>
      </c>
      <c r="G318" s="1271">
        <v>671</v>
      </c>
      <c r="H318" s="1271">
        <v>1966</v>
      </c>
      <c r="I318" s="1271">
        <v>812</v>
      </c>
      <c r="J318" s="1164">
        <v>1909576.94</v>
      </c>
      <c r="K318" s="1164">
        <v>72721.81</v>
      </c>
      <c r="L318" s="1164">
        <v>305056.65000000002</v>
      </c>
      <c r="M318" s="172">
        <v>2287355.4</v>
      </c>
      <c r="N318" s="1164">
        <v>848710.81</v>
      </c>
      <c r="O318" s="1164">
        <v>1530.7</v>
      </c>
      <c r="P318" s="230">
        <v>454.6</v>
      </c>
      <c r="X318" s="50"/>
      <c r="Y318" s="50"/>
      <c r="Z318" s="50"/>
      <c r="AA318" s="171"/>
    </row>
    <row r="319" spans="3:27" s="230" customFormat="1" hidden="1">
      <c r="C319" s="1200"/>
      <c r="D319" s="173" t="str">
        <f>IF(Indice_index!$Z$1=1,"dezembro","December")</f>
        <v>December</v>
      </c>
      <c r="E319" s="1271">
        <v>983</v>
      </c>
      <c r="F319" s="1271">
        <v>92</v>
      </c>
      <c r="G319" s="1271">
        <v>718</v>
      </c>
      <c r="H319" s="1271">
        <v>1793</v>
      </c>
      <c r="I319" s="1271">
        <v>886</v>
      </c>
      <c r="J319" s="1164">
        <v>1287264.1600000001</v>
      </c>
      <c r="K319" s="1164">
        <v>95656.23000000001</v>
      </c>
      <c r="L319" s="1164">
        <v>338357.31</v>
      </c>
      <c r="M319" s="172">
        <v>1721277.7000000002</v>
      </c>
      <c r="N319" s="1164">
        <v>931999.81</v>
      </c>
      <c r="O319" s="1164">
        <v>1286.4000000000001</v>
      </c>
      <c r="P319" s="230">
        <v>471.2</v>
      </c>
      <c r="X319" s="50"/>
      <c r="Y319" s="50"/>
      <c r="Z319" s="50"/>
      <c r="AA319" s="171"/>
    </row>
    <row r="320" spans="3:27" s="230" customFormat="1" hidden="1">
      <c r="C320" s="1200" t="s">
        <v>12</v>
      </c>
      <c r="D320" s="1201"/>
      <c r="E320" s="1271"/>
      <c r="F320" s="1271"/>
      <c r="G320" s="1271"/>
      <c r="H320" s="1271"/>
      <c r="I320" s="1271"/>
      <c r="J320" s="1164"/>
      <c r="K320" s="1164"/>
      <c r="L320" s="1164"/>
      <c r="M320" s="172"/>
      <c r="N320" s="1164"/>
      <c r="O320" s="1164"/>
      <c r="X320" s="50"/>
      <c r="Y320" s="50"/>
      <c r="Z320" s="50"/>
      <c r="AA320" s="171"/>
    </row>
    <row r="321" spans="3:27" s="230" customFormat="1" hidden="1">
      <c r="C321" s="1200"/>
      <c r="D321" s="173" t="str">
        <f>IF(Indice_index!$Z$1=1,"janeiro","January")</f>
        <v>January</v>
      </c>
      <c r="E321" s="1271">
        <v>1613</v>
      </c>
      <c r="F321" s="1271">
        <v>179</v>
      </c>
      <c r="G321" s="1271">
        <v>623</v>
      </c>
      <c r="H321" s="1271">
        <v>2415</v>
      </c>
      <c r="I321" s="1271">
        <v>841</v>
      </c>
      <c r="J321" s="1164">
        <v>2400812.1300000004</v>
      </c>
      <c r="K321" s="1164">
        <v>227341.87</v>
      </c>
      <c r="L321" s="1164">
        <v>301045</v>
      </c>
      <c r="M321" s="172">
        <v>2929199.0000000005</v>
      </c>
      <c r="N321" s="1164">
        <v>866112.06</v>
      </c>
      <c r="O321" s="1164">
        <v>1466.6</v>
      </c>
      <c r="P321" s="230">
        <v>483.2</v>
      </c>
      <c r="X321" s="50"/>
      <c r="Y321" s="50"/>
      <c r="Z321" s="50"/>
      <c r="AA321" s="171"/>
    </row>
    <row r="322" spans="3:27" s="230" customFormat="1" hidden="1">
      <c r="C322" s="1202"/>
      <c r="D322" s="173" t="str">
        <f>IF(Indice_index!$Z$1=1,"fevereiro","February")</f>
        <v>February</v>
      </c>
      <c r="E322" s="1271">
        <v>1506</v>
      </c>
      <c r="F322" s="1271">
        <v>218</v>
      </c>
      <c r="G322" s="1271">
        <v>731</v>
      </c>
      <c r="H322" s="1271">
        <v>2455</v>
      </c>
      <c r="I322" s="1271">
        <v>1081</v>
      </c>
      <c r="J322" s="1164">
        <v>1862688.8800000001</v>
      </c>
      <c r="K322" s="1164">
        <v>244140.95</v>
      </c>
      <c r="L322" s="1164">
        <v>345412</v>
      </c>
      <c r="M322" s="1164">
        <v>2452241.83</v>
      </c>
      <c r="N322" s="1164">
        <v>1114050.94</v>
      </c>
      <c r="O322" s="1164">
        <v>1222.0999999999999</v>
      </c>
      <c r="P322" s="1164">
        <v>472.5</v>
      </c>
      <c r="X322" s="50"/>
      <c r="Y322" s="50"/>
      <c r="Z322" s="50"/>
      <c r="AA322" s="171"/>
    </row>
    <row r="323" spans="3:27" s="230" customFormat="1" hidden="1">
      <c r="C323" s="1202"/>
      <c r="D323" s="173" t="str">
        <f>IF(Indice_index!$Z$1=1,"março","March")</f>
        <v>March</v>
      </c>
      <c r="E323" s="1271">
        <v>1681</v>
      </c>
      <c r="F323" s="1271">
        <v>142</v>
      </c>
      <c r="G323" s="1271">
        <v>660</v>
      </c>
      <c r="H323" s="1271">
        <v>2483</v>
      </c>
      <c r="I323" s="1271">
        <v>1094</v>
      </c>
      <c r="J323" s="1164">
        <v>1953254.07</v>
      </c>
      <c r="K323" s="1164">
        <v>165596.85</v>
      </c>
      <c r="L323" s="1164">
        <v>320609</v>
      </c>
      <c r="M323" s="1164">
        <v>2439459.92</v>
      </c>
      <c r="N323" s="1164">
        <v>1038005.63</v>
      </c>
      <c r="O323" s="1164">
        <v>1162.3</v>
      </c>
      <c r="P323" s="1164">
        <v>485.8</v>
      </c>
      <c r="X323" s="50"/>
      <c r="Y323" s="50"/>
      <c r="Z323" s="50"/>
      <c r="AA323" s="171"/>
    </row>
    <row r="324" spans="3:27" s="230" customFormat="1" hidden="1">
      <c r="C324" s="1202"/>
      <c r="D324" s="173" t="str">
        <f>IF(Indice_index!$Z$1=1,"abril","April")</f>
        <v>April</v>
      </c>
      <c r="E324" s="1271">
        <v>1900</v>
      </c>
      <c r="F324" s="1271">
        <v>177</v>
      </c>
      <c r="G324" s="1271">
        <v>671</v>
      </c>
      <c r="H324" s="1271">
        <v>2748</v>
      </c>
      <c r="I324" s="1271">
        <v>1050</v>
      </c>
      <c r="J324" s="1164">
        <v>2059097.8399999999</v>
      </c>
      <c r="K324" s="1164">
        <v>198424.51</v>
      </c>
      <c r="L324" s="1164">
        <v>356233.68</v>
      </c>
      <c r="M324" s="1164">
        <v>2613756.0299999998</v>
      </c>
      <c r="N324" s="1164">
        <v>1024683.18</v>
      </c>
      <c r="O324" s="1164">
        <v>1086.9000000000001</v>
      </c>
      <c r="P324" s="1164">
        <v>530.9</v>
      </c>
      <c r="X324" s="50"/>
      <c r="Y324" s="50"/>
      <c r="Z324" s="50"/>
      <c r="AA324" s="171"/>
    </row>
    <row r="325" spans="3:27" s="230" customFormat="1" hidden="1">
      <c r="C325" s="1202"/>
      <c r="D325" s="173" t="str">
        <f>IF(Indice_index!$Z$1=1,"maio","May")</f>
        <v>May</v>
      </c>
      <c r="E325" s="1271">
        <v>1861</v>
      </c>
      <c r="F325" s="1271">
        <v>216</v>
      </c>
      <c r="G325" s="1271">
        <v>735</v>
      </c>
      <c r="H325" s="1271">
        <v>2812</v>
      </c>
      <c r="I325" s="1271">
        <v>1023</v>
      </c>
      <c r="J325" s="1164">
        <v>1969417.4999999998</v>
      </c>
      <c r="K325" s="1164">
        <v>246357.05999999997</v>
      </c>
      <c r="L325" s="1164">
        <v>355275.85</v>
      </c>
      <c r="M325" s="1164">
        <v>2571050.4099999997</v>
      </c>
      <c r="N325" s="1164">
        <v>1030219.37</v>
      </c>
      <c r="O325" s="1164">
        <v>1066.8</v>
      </c>
      <c r="P325" s="1164">
        <v>483.4</v>
      </c>
      <c r="X325" s="50"/>
      <c r="Y325" s="50"/>
      <c r="Z325" s="50"/>
      <c r="AA325" s="171"/>
    </row>
    <row r="326" spans="3:27" s="230" customFormat="1" hidden="1">
      <c r="C326" s="1202"/>
      <c r="D326" s="173" t="str">
        <f>IF(Indice_index!$Z$1=1,"junho","June")</f>
        <v>June</v>
      </c>
      <c r="E326" s="1271">
        <v>1365</v>
      </c>
      <c r="F326" s="1271">
        <v>384</v>
      </c>
      <c r="G326" s="1271">
        <v>741</v>
      </c>
      <c r="H326" s="1271">
        <v>2490</v>
      </c>
      <c r="I326" s="1271">
        <v>1059</v>
      </c>
      <c r="J326" s="1164">
        <v>1662954.27</v>
      </c>
      <c r="K326" s="1164">
        <v>419758.02999999997</v>
      </c>
      <c r="L326" s="1164">
        <v>355587.63999999996</v>
      </c>
      <c r="M326" s="1164">
        <v>2438299.94</v>
      </c>
      <c r="N326" s="1164">
        <v>1067108.72</v>
      </c>
      <c r="O326" s="1164">
        <v>1190.8</v>
      </c>
      <c r="P326" s="1164">
        <v>479.9</v>
      </c>
      <c r="X326" s="50"/>
      <c r="Y326" s="50"/>
      <c r="Z326" s="50"/>
      <c r="AA326" s="171"/>
    </row>
    <row r="327" spans="3:27" s="230" customFormat="1" hidden="1">
      <c r="C327" s="1202"/>
      <c r="D327" s="173" t="str">
        <f>IF(Indice_index!$Z$1=1,"julho","July")</f>
        <v>July</v>
      </c>
      <c r="E327" s="1271">
        <v>1213</v>
      </c>
      <c r="F327" s="1271">
        <v>164</v>
      </c>
      <c r="G327" s="1271">
        <v>517</v>
      </c>
      <c r="H327" s="1271">
        <v>1894</v>
      </c>
      <c r="I327" s="1271">
        <v>870</v>
      </c>
      <c r="J327" s="1164">
        <v>1340995.3999999999</v>
      </c>
      <c r="K327" s="1164">
        <v>188130.56</v>
      </c>
      <c r="L327" s="1164">
        <v>252965.25</v>
      </c>
      <c r="M327" s="1164">
        <v>1782091.21</v>
      </c>
      <c r="N327" s="1164">
        <v>901571.89</v>
      </c>
      <c r="O327" s="1164">
        <v>1110.5</v>
      </c>
      <c r="P327" s="1164">
        <v>489.3</v>
      </c>
      <c r="X327" s="50"/>
      <c r="Y327" s="50"/>
      <c r="Z327" s="50"/>
      <c r="AA327" s="171"/>
    </row>
    <row r="328" spans="3:27" s="230" customFormat="1" hidden="1">
      <c r="C328" s="1202"/>
      <c r="D328" s="173" t="str">
        <f>IF(Indice_index!$Z$1=1,"agosto","August")</f>
        <v>August</v>
      </c>
      <c r="E328" s="1271">
        <v>982</v>
      </c>
      <c r="F328" s="1271">
        <v>127</v>
      </c>
      <c r="G328" s="1271">
        <v>804</v>
      </c>
      <c r="H328" s="1271">
        <v>1913</v>
      </c>
      <c r="I328" s="1271">
        <v>888</v>
      </c>
      <c r="J328" s="1164">
        <v>1183488.18</v>
      </c>
      <c r="K328" s="1164">
        <v>160049.88999999998</v>
      </c>
      <c r="L328" s="1164">
        <v>403157.06999999995</v>
      </c>
      <c r="M328" s="1164">
        <v>1746695.1399999997</v>
      </c>
      <c r="N328" s="1164">
        <v>896681.29</v>
      </c>
      <c r="O328" s="1164">
        <v>1211.5</v>
      </c>
      <c r="P328" s="1164">
        <v>501.4</v>
      </c>
      <c r="X328" s="50"/>
      <c r="Y328" s="50"/>
      <c r="Z328" s="50"/>
      <c r="AA328" s="171"/>
    </row>
    <row r="329" spans="3:27" s="230" customFormat="1" hidden="1">
      <c r="C329" s="1202"/>
      <c r="D329" s="173" t="str">
        <f>IF(Indice_index!$Z$1=1,"setembro","September")</f>
        <v>September</v>
      </c>
      <c r="E329" s="1271">
        <v>917</v>
      </c>
      <c r="F329" s="1271">
        <v>109</v>
      </c>
      <c r="G329" s="1271">
        <v>593</v>
      </c>
      <c r="H329" s="1271">
        <v>1619</v>
      </c>
      <c r="I329" s="1271">
        <v>1070</v>
      </c>
      <c r="J329" s="1164">
        <v>1135377.3700000001</v>
      </c>
      <c r="K329" s="1164">
        <v>139130.28</v>
      </c>
      <c r="L329" s="1164">
        <v>308089.84000000003</v>
      </c>
      <c r="M329" s="1164">
        <v>1582597.49</v>
      </c>
      <c r="N329" s="1164">
        <v>1129850.44</v>
      </c>
      <c r="O329" s="1164">
        <v>1242.2</v>
      </c>
      <c r="P329" s="1164">
        <v>519.5</v>
      </c>
      <c r="X329" s="50"/>
      <c r="Y329" s="50"/>
      <c r="Z329" s="50"/>
      <c r="AA329" s="171"/>
    </row>
    <row r="330" spans="3:27" s="230" customFormat="1" hidden="1">
      <c r="C330" s="1202"/>
      <c r="D330" s="173" t="str">
        <f>IF(Indice_index!$Z$1=1,"outubro","October")</f>
        <v>October</v>
      </c>
      <c r="E330" s="1271">
        <v>1029</v>
      </c>
      <c r="F330" s="1271">
        <v>99</v>
      </c>
      <c r="G330" s="1271">
        <v>677</v>
      </c>
      <c r="H330" s="1271">
        <v>1805</v>
      </c>
      <c r="I330" s="1271">
        <v>841</v>
      </c>
      <c r="J330" s="1164">
        <v>1586106.08</v>
      </c>
      <c r="K330" s="1164">
        <v>125250.46</v>
      </c>
      <c r="L330" s="1164">
        <v>298338.21000000002</v>
      </c>
      <c r="M330" s="1164">
        <v>2009694.75</v>
      </c>
      <c r="N330" s="1164">
        <v>890517.06</v>
      </c>
      <c r="O330" s="1164">
        <v>1517.2</v>
      </c>
      <c r="P330" s="1164">
        <v>440.7</v>
      </c>
      <c r="X330" s="50"/>
      <c r="Y330" s="50"/>
      <c r="Z330" s="50"/>
      <c r="AA330" s="171"/>
    </row>
    <row r="331" spans="3:27" s="230" customFormat="1" hidden="1">
      <c r="C331" s="1202"/>
      <c r="D331" s="173" t="str">
        <f>IF(Indice_index!$Z$1=1,"novembro","November")</f>
        <v>November</v>
      </c>
      <c r="E331" s="1271">
        <v>2024</v>
      </c>
      <c r="F331" s="1271">
        <v>357</v>
      </c>
      <c r="G331" s="1271">
        <v>927</v>
      </c>
      <c r="H331" s="1271">
        <v>3308</v>
      </c>
      <c r="I331" s="1271">
        <v>899</v>
      </c>
      <c r="J331" s="1164">
        <v>3234310.3</v>
      </c>
      <c r="K331" s="1164">
        <v>451766.15</v>
      </c>
      <c r="L331" s="1164">
        <v>474381.68</v>
      </c>
      <c r="M331" s="1164">
        <v>4160458.13</v>
      </c>
      <c r="N331" s="1164">
        <v>973584.25</v>
      </c>
      <c r="O331" s="1164">
        <v>1548.1</v>
      </c>
      <c r="P331" s="1164">
        <v>511.7</v>
      </c>
      <c r="X331" s="50"/>
      <c r="Y331" s="50"/>
      <c r="Z331" s="50"/>
      <c r="AA331" s="171"/>
    </row>
    <row r="332" spans="3:27" s="230" customFormat="1" hidden="1">
      <c r="C332" s="1202"/>
      <c r="D332" s="173" t="str">
        <f>IF(Indice_index!$Z$1=1,"dezembro","December")</f>
        <v>December</v>
      </c>
      <c r="E332" s="1271">
        <v>1935</v>
      </c>
      <c r="F332" s="1271">
        <v>132</v>
      </c>
      <c r="G332" s="1271">
        <v>881</v>
      </c>
      <c r="H332" s="1271">
        <v>2948</v>
      </c>
      <c r="I332" s="1271">
        <v>911</v>
      </c>
      <c r="J332" s="1164">
        <v>3354755.0300000003</v>
      </c>
      <c r="K332" s="1164">
        <v>152507.60999999999</v>
      </c>
      <c r="L332" s="1164">
        <v>438256.88</v>
      </c>
      <c r="M332" s="1164">
        <v>3945519.52</v>
      </c>
      <c r="N332" s="1164">
        <v>919486.9</v>
      </c>
      <c r="O332" s="1164">
        <v>1696.8</v>
      </c>
      <c r="P332" s="1164">
        <v>497.5</v>
      </c>
      <c r="X332" s="50"/>
      <c r="Y332" s="50"/>
      <c r="Z332" s="50"/>
      <c r="AA332" s="171"/>
    </row>
    <row r="333" spans="3:27" s="230" customFormat="1" hidden="1">
      <c r="C333" s="1200" t="s">
        <v>13</v>
      </c>
      <c r="D333" s="172"/>
      <c r="E333" s="1271"/>
      <c r="F333" s="1271"/>
      <c r="G333" s="1271"/>
      <c r="H333" s="1271"/>
      <c r="I333" s="1271"/>
      <c r="J333" s="1164"/>
      <c r="K333" s="1164"/>
      <c r="L333" s="1164"/>
      <c r="M333" s="1164"/>
      <c r="N333" s="1164"/>
      <c r="O333" s="1164"/>
      <c r="P333" s="1164"/>
      <c r="X333" s="50"/>
      <c r="Y333" s="50"/>
      <c r="Z333" s="50"/>
      <c r="AA333" s="171"/>
    </row>
    <row r="334" spans="3:27" s="230" customFormat="1" hidden="1">
      <c r="C334" s="1202"/>
      <c r="D334" s="173" t="str">
        <f>IF(Indice_index!$Z$1=1,"janeiro","January")</f>
        <v>January</v>
      </c>
      <c r="E334" s="1271">
        <v>1562</v>
      </c>
      <c r="F334" s="1271">
        <v>298</v>
      </c>
      <c r="G334" s="1271">
        <v>580</v>
      </c>
      <c r="H334" s="1271">
        <v>2440</v>
      </c>
      <c r="I334" s="1271">
        <v>887</v>
      </c>
      <c r="J334" s="1164">
        <v>2144170.29</v>
      </c>
      <c r="K334" s="1164">
        <v>342562.81</v>
      </c>
      <c r="L334" s="1164">
        <v>264495.68</v>
      </c>
      <c r="M334" s="1164">
        <v>2751228.78</v>
      </c>
      <c r="N334" s="1164">
        <v>938329.29</v>
      </c>
      <c r="O334" s="1164">
        <v>1337</v>
      </c>
      <c r="P334" s="1164">
        <v>456</v>
      </c>
      <c r="X334" s="50"/>
      <c r="Y334" s="50"/>
      <c r="Z334" s="50"/>
      <c r="AA334" s="171"/>
    </row>
    <row r="335" spans="3:27" s="230" customFormat="1" hidden="1">
      <c r="C335" s="1202"/>
      <c r="D335" s="173" t="str">
        <f>IF(Indice_index!$Z$1=1,"fevereiro","February")</f>
        <v>February</v>
      </c>
      <c r="E335" s="1271">
        <v>1528</v>
      </c>
      <c r="F335" s="1271">
        <v>162</v>
      </c>
      <c r="G335" s="1271">
        <v>750</v>
      </c>
      <c r="H335" s="1271">
        <v>2440</v>
      </c>
      <c r="I335" s="1271">
        <v>1283</v>
      </c>
      <c r="J335" s="1164">
        <v>1757313.13</v>
      </c>
      <c r="K335" s="1164">
        <v>215035.99</v>
      </c>
      <c r="L335" s="1164">
        <v>377259.18</v>
      </c>
      <c r="M335" s="1164">
        <v>2349608.2999999998</v>
      </c>
      <c r="N335" s="1164">
        <v>1295736.5900000001</v>
      </c>
      <c r="O335" s="1164">
        <v>1167.0999999999999</v>
      </c>
      <c r="P335" s="1164">
        <v>503</v>
      </c>
      <c r="X335" s="50"/>
      <c r="Y335" s="50"/>
      <c r="Z335" s="50"/>
      <c r="AA335" s="171"/>
    </row>
    <row r="336" spans="3:27" s="230" customFormat="1" hidden="1">
      <c r="C336" s="1202"/>
      <c r="D336" s="173" t="str">
        <f>IF(Indice_index!$Z$1=1,"março","March")</f>
        <v>March</v>
      </c>
      <c r="E336" s="1271">
        <v>1569</v>
      </c>
      <c r="F336" s="1271">
        <v>77</v>
      </c>
      <c r="G336" s="1271">
        <v>813</v>
      </c>
      <c r="H336" s="1271">
        <v>2459</v>
      </c>
      <c r="I336" s="1271">
        <v>1102</v>
      </c>
      <c r="J336" s="1164">
        <v>1989226.2</v>
      </c>
      <c r="K336" s="1164">
        <v>95593.09</v>
      </c>
      <c r="L336" s="1164">
        <v>424644.21</v>
      </c>
      <c r="M336" s="1164">
        <v>2509463.5</v>
      </c>
      <c r="N336" s="1164">
        <v>1117527.6599999999</v>
      </c>
      <c r="O336" s="1164">
        <v>1266.5999999999999</v>
      </c>
      <c r="P336" s="1164">
        <v>522.29999999999995</v>
      </c>
      <c r="X336" s="50"/>
      <c r="Y336" s="50"/>
      <c r="Z336" s="50"/>
      <c r="AA336" s="171"/>
    </row>
    <row r="337" spans="3:27" s="230" customFormat="1" hidden="1">
      <c r="C337" s="1204"/>
      <c r="D337" s="173" t="str">
        <f>IF(Indice_index!$Z$1=1,"abril","April")</f>
        <v>April</v>
      </c>
      <c r="E337" s="1271">
        <v>1334</v>
      </c>
      <c r="F337" s="1271">
        <v>341</v>
      </c>
      <c r="G337" s="1271">
        <v>818</v>
      </c>
      <c r="H337" s="1271">
        <v>2493</v>
      </c>
      <c r="I337" s="1271">
        <v>1031</v>
      </c>
      <c r="J337" s="1164">
        <v>1739113.49</v>
      </c>
      <c r="K337" s="1164">
        <v>381846.29</v>
      </c>
      <c r="L337" s="1164">
        <v>407992.44</v>
      </c>
      <c r="M337" s="1164">
        <v>2528952.2200000002</v>
      </c>
      <c r="N337" s="1164">
        <v>1083317.72</v>
      </c>
      <c r="O337" s="1164">
        <v>1266.2</v>
      </c>
      <c r="P337" s="1164">
        <v>498.8</v>
      </c>
      <c r="X337" s="50"/>
      <c r="Y337" s="50"/>
      <c r="Z337" s="50"/>
      <c r="AA337" s="171"/>
    </row>
    <row r="338" spans="3:27" s="230" customFormat="1" hidden="1">
      <c r="C338" s="1204"/>
      <c r="D338" s="173" t="str">
        <f>IF(Indice_index!$Z$1=1,"maio","May")</f>
        <v>May</v>
      </c>
      <c r="E338" s="1271">
        <v>1569</v>
      </c>
      <c r="F338" s="1271">
        <v>126</v>
      </c>
      <c r="G338" s="1271">
        <v>646</v>
      </c>
      <c r="H338" s="1271">
        <v>2341</v>
      </c>
      <c r="I338" s="1271">
        <v>921</v>
      </c>
      <c r="J338" s="1164">
        <v>1984561.34</v>
      </c>
      <c r="K338" s="1164">
        <v>142609.82</v>
      </c>
      <c r="L338" s="1164">
        <v>314798.21999999997</v>
      </c>
      <c r="M338" s="1164">
        <v>2441969.38</v>
      </c>
      <c r="N338" s="1164">
        <v>990536</v>
      </c>
      <c r="O338" s="1164">
        <v>1255</v>
      </c>
      <c r="P338" s="1164">
        <v>487.3</v>
      </c>
      <c r="X338" s="50"/>
      <c r="Y338" s="50"/>
      <c r="Z338" s="50"/>
      <c r="AA338" s="171"/>
    </row>
    <row r="339" spans="3:27" s="230" customFormat="1" hidden="1">
      <c r="C339" s="1204"/>
      <c r="D339" s="173" t="str">
        <f>IF(Indice_index!$Z$1=1,"junho","June")</f>
        <v>June</v>
      </c>
      <c r="E339" s="1271">
        <v>1552</v>
      </c>
      <c r="F339" s="1271">
        <v>186</v>
      </c>
      <c r="G339" s="1271">
        <v>759</v>
      </c>
      <c r="H339" s="1271">
        <v>2497</v>
      </c>
      <c r="I339" s="1271">
        <v>1019</v>
      </c>
      <c r="J339" s="1164">
        <v>1832568.78</v>
      </c>
      <c r="K339" s="1164">
        <v>213884.45</v>
      </c>
      <c r="L339" s="1164">
        <v>378716.78</v>
      </c>
      <c r="M339" s="1164">
        <v>2425170.0099999998</v>
      </c>
      <c r="N339" s="1164">
        <v>1050314.4099999999</v>
      </c>
      <c r="O339" s="1164">
        <v>1177.5</v>
      </c>
      <c r="P339" s="1164">
        <v>499</v>
      </c>
      <c r="X339" s="50"/>
      <c r="Y339" s="50"/>
      <c r="Z339" s="50"/>
      <c r="AA339" s="171"/>
    </row>
    <row r="340" spans="3:27" s="230" customFormat="1" hidden="1">
      <c r="C340" s="1204"/>
      <c r="D340" s="173" t="str">
        <f>IF(Indice_index!$Z$1=1,"julho","July")</f>
        <v>July</v>
      </c>
      <c r="E340" s="1271">
        <v>1796</v>
      </c>
      <c r="F340" s="1271">
        <v>87</v>
      </c>
      <c r="G340" s="1271">
        <v>13138</v>
      </c>
      <c r="H340" s="1271">
        <v>15021</v>
      </c>
      <c r="I340" s="1271">
        <v>853</v>
      </c>
      <c r="J340" s="1164">
        <v>1927040.2400000002</v>
      </c>
      <c r="K340" s="1164">
        <v>86949.419999999984</v>
      </c>
      <c r="L340" s="1164">
        <v>2496857.39</v>
      </c>
      <c r="M340" s="1164">
        <v>4510847.0500000007</v>
      </c>
      <c r="N340" s="1164">
        <v>877658.51</v>
      </c>
      <c r="O340" s="1164">
        <v>1069.5999999999999</v>
      </c>
      <c r="P340" s="1164">
        <v>190</v>
      </c>
      <c r="X340" s="50"/>
      <c r="Y340" s="50"/>
      <c r="Z340" s="50"/>
      <c r="AA340" s="171"/>
    </row>
    <row r="341" spans="3:27" s="230" customFormat="1" hidden="1">
      <c r="C341" s="1204"/>
      <c r="D341" s="173" t="str">
        <f>IF(Indice_index!$Z$1=1,"agosto","August")</f>
        <v>August</v>
      </c>
      <c r="E341" s="1271">
        <v>2800</v>
      </c>
      <c r="F341" s="1271">
        <v>285</v>
      </c>
      <c r="G341" s="1271">
        <v>796</v>
      </c>
      <c r="H341" s="1271">
        <v>3881</v>
      </c>
      <c r="I341" s="1271">
        <v>911</v>
      </c>
      <c r="J341" s="1164">
        <v>1784574.77</v>
      </c>
      <c r="K341" s="1164">
        <v>279773.2</v>
      </c>
      <c r="L341" s="1164">
        <v>415378.73</v>
      </c>
      <c r="M341" s="1164">
        <v>2479726.7000000002</v>
      </c>
      <c r="N341" s="1164">
        <v>971128.11</v>
      </c>
      <c r="O341" s="1164">
        <v>669.2</v>
      </c>
      <c r="P341" s="1164">
        <v>521.79999999999995</v>
      </c>
      <c r="X341" s="50"/>
      <c r="Y341" s="50"/>
      <c r="Z341" s="50"/>
      <c r="AA341" s="171"/>
    </row>
    <row r="342" spans="3:27" s="230" customFormat="1" hidden="1">
      <c r="C342" s="1204"/>
      <c r="D342" s="173" t="str">
        <f>IF(Indice_index!$Z$1=1,"setembro","September")</f>
        <v>September</v>
      </c>
      <c r="E342" s="1271">
        <v>2469</v>
      </c>
      <c r="F342" s="1271">
        <v>270</v>
      </c>
      <c r="G342" s="1271">
        <v>566</v>
      </c>
      <c r="H342" s="1271">
        <v>3305</v>
      </c>
      <c r="I342" s="1271">
        <v>887</v>
      </c>
      <c r="J342" s="1164">
        <v>1750249.17</v>
      </c>
      <c r="K342" s="1164">
        <v>269596.73</v>
      </c>
      <c r="L342" s="1164">
        <v>279032.69</v>
      </c>
      <c r="M342" s="1164">
        <v>2298878.59</v>
      </c>
      <c r="N342" s="1164">
        <v>910999.21</v>
      </c>
      <c r="O342" s="1164">
        <v>737.4</v>
      </c>
      <c r="P342" s="1164">
        <v>493</v>
      </c>
      <c r="X342" s="50"/>
      <c r="Y342" s="50"/>
      <c r="Z342" s="50"/>
      <c r="AA342" s="171"/>
    </row>
    <row r="343" spans="3:27" s="230" customFormat="1" hidden="1">
      <c r="C343" s="1204"/>
      <c r="D343" s="173" t="str">
        <f>IF(Indice_index!$Z$1=1,"outubro","October")</f>
        <v>October</v>
      </c>
      <c r="E343" s="1271">
        <v>1613</v>
      </c>
      <c r="F343" s="1271">
        <v>100</v>
      </c>
      <c r="G343" s="1271">
        <v>849</v>
      </c>
      <c r="H343" s="1271">
        <v>2562</v>
      </c>
      <c r="I343" s="1271">
        <v>899</v>
      </c>
      <c r="J343" s="1164">
        <v>1797338.73</v>
      </c>
      <c r="K343" s="1164">
        <v>107549.74</v>
      </c>
      <c r="L343" s="1164">
        <v>415703.82</v>
      </c>
      <c r="M343" s="1164">
        <v>2320592.29</v>
      </c>
      <c r="N343" s="1164">
        <v>936966.85</v>
      </c>
      <c r="O343" s="1164">
        <v>1112</v>
      </c>
      <c r="P343" s="1164">
        <v>489</v>
      </c>
      <c r="X343" s="50"/>
      <c r="Y343" s="50"/>
      <c r="Z343" s="50"/>
      <c r="AA343" s="171"/>
    </row>
    <row r="344" spans="3:27" s="230" customFormat="1" hidden="1">
      <c r="C344" s="1204"/>
      <c r="D344" s="173" t="str">
        <f>IF(Indice_index!$Z$1=1,"novembro","November")</f>
        <v>November</v>
      </c>
      <c r="E344" s="1271">
        <v>1796</v>
      </c>
      <c r="F344" s="1271">
        <v>142</v>
      </c>
      <c r="G344" s="1271">
        <v>834</v>
      </c>
      <c r="H344" s="1271">
        <v>2772</v>
      </c>
      <c r="I344" s="1271">
        <v>1014</v>
      </c>
      <c r="J344" s="1164">
        <v>2281320.89</v>
      </c>
      <c r="K344" s="1164">
        <v>136727.79</v>
      </c>
      <c r="L344" s="1164">
        <v>409322.86</v>
      </c>
      <c r="M344" s="1164">
        <v>2827371.54</v>
      </c>
      <c r="N344" s="1164">
        <v>1047371.52</v>
      </c>
      <c r="O344" s="1164">
        <v>1247.7</v>
      </c>
      <c r="P344" s="1164">
        <v>490.8</v>
      </c>
      <c r="X344" s="50"/>
      <c r="Y344" s="50"/>
      <c r="Z344" s="50"/>
      <c r="AA344" s="171"/>
    </row>
    <row r="345" spans="3:27" s="230" customFormat="1" hidden="1">
      <c r="C345" s="1204"/>
      <c r="D345" s="173" t="str">
        <f>IF(Indice_index!$Z$1=1,"dezembro","December")</f>
        <v>December</v>
      </c>
      <c r="E345" s="1271">
        <v>1523</v>
      </c>
      <c r="F345" s="1271">
        <v>115</v>
      </c>
      <c r="G345" s="1271">
        <v>677</v>
      </c>
      <c r="H345" s="1271">
        <v>2315</v>
      </c>
      <c r="I345" s="1271">
        <v>936</v>
      </c>
      <c r="J345" s="1164">
        <v>1839898.4</v>
      </c>
      <c r="K345" s="1164">
        <v>100441.60000000001</v>
      </c>
      <c r="L345" s="1164">
        <v>334836.89</v>
      </c>
      <c r="M345" s="1164">
        <v>2275176.89</v>
      </c>
      <c r="N345" s="1164">
        <v>1000387.68</v>
      </c>
      <c r="O345" s="1164">
        <v>1184.5999999999999</v>
      </c>
      <c r="P345" s="1164">
        <v>494.6</v>
      </c>
      <c r="X345" s="50"/>
      <c r="Y345" s="50"/>
      <c r="Z345" s="50"/>
      <c r="AA345" s="171"/>
    </row>
    <row r="346" spans="3:27" s="230" customFormat="1" hidden="1">
      <c r="C346" s="1203">
        <v>2015</v>
      </c>
      <c r="D346" s="172"/>
      <c r="E346" s="1271"/>
      <c r="F346" s="1271"/>
      <c r="G346" s="1271"/>
      <c r="H346" s="1271"/>
      <c r="I346" s="1271"/>
      <c r="J346" s="1164"/>
      <c r="K346" s="1164"/>
      <c r="L346" s="1164"/>
      <c r="M346" s="1164"/>
      <c r="N346" s="1164"/>
      <c r="O346" s="1164"/>
      <c r="P346" s="1164"/>
      <c r="X346" s="50"/>
      <c r="Y346" s="50"/>
      <c r="Z346" s="50"/>
      <c r="AA346" s="171"/>
    </row>
    <row r="347" spans="3:27" s="230" customFormat="1" ht="11.25" hidden="1">
      <c r="C347" s="1204"/>
      <c r="D347" s="173" t="str">
        <f>IF(Indice_index!$Z$1=1,"janeiro","January")</f>
        <v>January</v>
      </c>
      <c r="E347" s="1271">
        <v>1770</v>
      </c>
      <c r="F347" s="1271">
        <v>136</v>
      </c>
      <c r="G347" s="1271">
        <v>606</v>
      </c>
      <c r="H347" s="1271">
        <v>2512</v>
      </c>
      <c r="I347" s="1271">
        <v>921</v>
      </c>
      <c r="J347" s="1164">
        <v>2407139.7599999998</v>
      </c>
      <c r="K347" s="1164">
        <v>109758.61</v>
      </c>
      <c r="L347" s="1164">
        <v>299494.09999999998</v>
      </c>
      <c r="M347" s="1164">
        <v>2816392.47</v>
      </c>
      <c r="N347" s="1164">
        <v>975542.06</v>
      </c>
      <c r="O347" s="1164">
        <v>1320.5</v>
      </c>
      <c r="P347" s="1164">
        <v>494.2</v>
      </c>
    </row>
    <row r="348" spans="3:27" s="230" customFormat="1" hidden="1">
      <c r="C348" s="1204"/>
      <c r="D348" s="173" t="str">
        <f>IF(Indice_index!$Z$1=1,"fevereiro","February")</f>
        <v>February</v>
      </c>
      <c r="E348" s="1271">
        <v>1711</v>
      </c>
      <c r="F348" s="1271">
        <v>94</v>
      </c>
      <c r="G348" s="1271">
        <v>532</v>
      </c>
      <c r="H348" s="1271">
        <v>2337</v>
      </c>
      <c r="I348" s="1271">
        <v>1226</v>
      </c>
      <c r="J348" s="1164">
        <v>2130496.8199999998</v>
      </c>
      <c r="K348" s="1164">
        <v>96635.839999999997</v>
      </c>
      <c r="L348" s="1164">
        <v>306687.09000000003</v>
      </c>
      <c r="M348" s="1164">
        <v>2533819.75</v>
      </c>
      <c r="N348" s="1164">
        <v>1273588.1499999999</v>
      </c>
      <c r="O348" s="1164">
        <v>1233.9000000000001</v>
      </c>
      <c r="P348" s="1164">
        <v>576.5</v>
      </c>
      <c r="X348" s="50"/>
      <c r="Y348" s="50"/>
      <c r="Z348" s="50"/>
      <c r="AA348" s="171"/>
    </row>
    <row r="349" spans="3:27" s="230" customFormat="1" hidden="1">
      <c r="C349" s="1204"/>
      <c r="D349" s="173" t="str">
        <f>IF(Indice_index!$Z$1=1,"março","March")</f>
        <v>March</v>
      </c>
      <c r="E349" s="1271">
        <v>1863</v>
      </c>
      <c r="F349" s="1271">
        <v>118</v>
      </c>
      <c r="G349" s="1271">
        <v>710</v>
      </c>
      <c r="H349" s="1271">
        <v>2691</v>
      </c>
      <c r="I349" s="1271">
        <v>1438</v>
      </c>
      <c r="J349" s="1164">
        <v>2491570.5099999998</v>
      </c>
      <c r="K349" s="1164">
        <v>123472.14</v>
      </c>
      <c r="L349" s="1164">
        <v>377539.71</v>
      </c>
      <c r="M349" s="1164">
        <v>2992582.36</v>
      </c>
      <c r="N349" s="1164">
        <v>1483538.72</v>
      </c>
      <c r="O349" s="1164">
        <v>1320.1</v>
      </c>
      <c r="P349" s="1164">
        <v>531.70000000000005</v>
      </c>
      <c r="X349" s="50"/>
      <c r="Y349" s="50"/>
      <c r="Z349" s="50"/>
      <c r="AA349" s="171"/>
    </row>
    <row r="350" spans="3:27" s="230" customFormat="1" hidden="1">
      <c r="C350" s="1204"/>
      <c r="D350" s="173" t="str">
        <f>IF(Indice_index!$Z$1=1,"abril","April")</f>
        <v>April</v>
      </c>
      <c r="E350" s="1271">
        <v>1442</v>
      </c>
      <c r="F350" s="1271">
        <v>218</v>
      </c>
      <c r="G350" s="1271">
        <v>952</v>
      </c>
      <c r="H350" s="1271">
        <v>2612</v>
      </c>
      <c r="I350" s="1271">
        <v>1325</v>
      </c>
      <c r="J350" s="1164">
        <v>1870266.71</v>
      </c>
      <c r="K350" s="1164">
        <v>207453.98</v>
      </c>
      <c r="L350" s="1164">
        <v>493357.47</v>
      </c>
      <c r="M350" s="1164">
        <v>2571078.16</v>
      </c>
      <c r="N350" s="1164">
        <v>1329636.56</v>
      </c>
      <c r="O350" s="1164">
        <v>1251.5999999999999</v>
      </c>
      <c r="P350" s="1164">
        <v>518.20000000000005</v>
      </c>
      <c r="X350" s="50"/>
      <c r="Y350" s="50"/>
      <c r="Z350" s="50"/>
      <c r="AA350" s="171"/>
    </row>
    <row r="351" spans="3:27" s="230" customFormat="1" hidden="1">
      <c r="C351" s="1204"/>
      <c r="D351" s="173" t="str">
        <f>IF(Indice_index!$Z$1=1,"maio","May")</f>
        <v>May</v>
      </c>
      <c r="E351" s="1271">
        <v>1389</v>
      </c>
      <c r="F351" s="1271">
        <v>135</v>
      </c>
      <c r="G351" s="1271">
        <v>2741</v>
      </c>
      <c r="H351" s="1271">
        <v>4265</v>
      </c>
      <c r="I351" s="1271">
        <v>1072</v>
      </c>
      <c r="J351" s="1164">
        <v>1490666.5</v>
      </c>
      <c r="K351" s="1164">
        <v>128359.52</v>
      </c>
      <c r="L351" s="1164">
        <v>646844.06000000006</v>
      </c>
      <c r="M351" s="1164">
        <v>2265870.08</v>
      </c>
      <c r="N351" s="1164">
        <v>1111609.3999999999</v>
      </c>
      <c r="O351" s="1164">
        <v>1062.4000000000001</v>
      </c>
      <c r="P351" s="1164">
        <v>236</v>
      </c>
      <c r="X351" s="50"/>
      <c r="Y351" s="50"/>
      <c r="Z351" s="50"/>
      <c r="AA351" s="171"/>
    </row>
    <row r="352" spans="3:27" s="230" customFormat="1" hidden="1">
      <c r="C352" s="1204"/>
      <c r="D352" s="173" t="str">
        <f>IF(Indice_index!$Z$1=1,"junho","June")</f>
        <v>June</v>
      </c>
      <c r="E352" s="1271">
        <v>1220</v>
      </c>
      <c r="F352" s="1271">
        <v>183</v>
      </c>
      <c r="G352" s="1271">
        <v>728</v>
      </c>
      <c r="H352" s="1271">
        <v>2131</v>
      </c>
      <c r="I352" s="1271">
        <v>953</v>
      </c>
      <c r="J352" s="1164">
        <v>1122638.95</v>
      </c>
      <c r="K352" s="1164">
        <v>154324.73000000001</v>
      </c>
      <c r="L352" s="1164">
        <v>340523.99</v>
      </c>
      <c r="M352" s="1164">
        <v>1617487.67</v>
      </c>
      <c r="N352" s="1164">
        <v>979034.81</v>
      </c>
      <c r="O352" s="1164">
        <v>910.2</v>
      </c>
      <c r="P352" s="1164">
        <v>467.8</v>
      </c>
      <c r="X352" s="50"/>
      <c r="Y352" s="50"/>
      <c r="Z352" s="50"/>
      <c r="AA352" s="171"/>
    </row>
    <row r="353" spans="3:27" s="230" customFormat="1" hidden="1">
      <c r="C353" s="1204"/>
      <c r="D353" s="173" t="str">
        <f>IF(Indice_index!$Z$1=1,"julho","July")</f>
        <v>July</v>
      </c>
      <c r="E353" s="1271">
        <v>665</v>
      </c>
      <c r="F353" s="1271">
        <v>150</v>
      </c>
      <c r="G353" s="1271">
        <v>802</v>
      </c>
      <c r="H353" s="1271">
        <v>1617</v>
      </c>
      <c r="I353" s="1271">
        <v>946</v>
      </c>
      <c r="J353" s="1164">
        <v>799815.27</v>
      </c>
      <c r="K353" s="1164">
        <v>164683.47</v>
      </c>
      <c r="L353" s="1164">
        <v>381132.69</v>
      </c>
      <c r="M353" s="1164">
        <v>1345631.43</v>
      </c>
      <c r="N353" s="1164">
        <v>982409.2</v>
      </c>
      <c r="O353" s="1164">
        <v>1183.4000000000001</v>
      </c>
      <c r="P353" s="1164">
        <v>475.2</v>
      </c>
      <c r="X353" s="50"/>
      <c r="Y353" s="50"/>
      <c r="Z353" s="50"/>
      <c r="AA353" s="171"/>
    </row>
    <row r="354" spans="3:27" s="230" customFormat="1" hidden="1">
      <c r="C354" s="1204"/>
      <c r="D354" s="173" t="str">
        <f>IF(Indice_index!$Z$1=1,"agosto","August")</f>
        <v>August</v>
      </c>
      <c r="E354" s="1271">
        <v>1267</v>
      </c>
      <c r="F354" s="1271">
        <v>180</v>
      </c>
      <c r="G354" s="1271">
        <v>763</v>
      </c>
      <c r="H354" s="1271">
        <v>2210</v>
      </c>
      <c r="I354" s="1271">
        <v>983</v>
      </c>
      <c r="J354" s="1164">
        <v>729279.21</v>
      </c>
      <c r="K354" s="1164">
        <v>227538.68</v>
      </c>
      <c r="L354" s="1164">
        <v>369190.44</v>
      </c>
      <c r="M354" s="1164">
        <v>1326008.33</v>
      </c>
      <c r="N354" s="1164">
        <v>992158.48</v>
      </c>
      <c r="O354" s="1164">
        <v>661.2</v>
      </c>
      <c r="P354" s="1164">
        <v>483.9</v>
      </c>
      <c r="X354" s="50"/>
      <c r="Y354" s="50"/>
      <c r="Z354" s="50"/>
      <c r="AA354" s="171"/>
    </row>
    <row r="355" spans="3:27" s="230" customFormat="1" hidden="1">
      <c r="C355" s="1204"/>
      <c r="D355" s="173" t="str">
        <f>IF(Indice_index!$Z$1=1,"setembro","September")</f>
        <v>September</v>
      </c>
      <c r="E355" s="1271">
        <v>967</v>
      </c>
      <c r="F355" s="1271">
        <v>184</v>
      </c>
      <c r="G355" s="1271">
        <v>748</v>
      </c>
      <c r="H355" s="1271">
        <v>1899</v>
      </c>
      <c r="I355" s="1271">
        <v>953</v>
      </c>
      <c r="J355" s="1164">
        <v>1047387.66</v>
      </c>
      <c r="K355" s="1164">
        <v>182236.75</v>
      </c>
      <c r="L355" s="1164">
        <v>397882.89</v>
      </c>
      <c r="M355" s="1164">
        <v>1627507.3000000003</v>
      </c>
      <c r="N355" s="1164">
        <v>1040644.97</v>
      </c>
      <c r="O355" s="1164">
        <v>1068.3</v>
      </c>
      <c r="P355" s="1164">
        <v>531.9</v>
      </c>
      <c r="X355" s="50"/>
      <c r="Y355" s="50"/>
      <c r="Z355" s="50"/>
      <c r="AA355" s="171"/>
    </row>
    <row r="356" spans="3:27" s="230" customFormat="1" hidden="1">
      <c r="C356" s="1204"/>
      <c r="D356" s="173" t="str">
        <f>IF(Indice_index!$Z$1=1,"outubro","October")</f>
        <v>October</v>
      </c>
      <c r="E356" s="1271">
        <v>788</v>
      </c>
      <c r="F356" s="1271">
        <v>158</v>
      </c>
      <c r="G356" s="1271">
        <v>547</v>
      </c>
      <c r="H356" s="1271">
        <v>1493</v>
      </c>
      <c r="I356" s="1271">
        <v>909</v>
      </c>
      <c r="J356" s="1164">
        <v>718601.03</v>
      </c>
      <c r="K356" s="1164">
        <v>195071.44</v>
      </c>
      <c r="L356" s="1164">
        <v>275368.63</v>
      </c>
      <c r="M356" s="1164">
        <v>1189041.1000000001</v>
      </c>
      <c r="N356" s="1164">
        <v>914422.88</v>
      </c>
      <c r="O356" s="1164">
        <v>965.8</v>
      </c>
      <c r="P356" s="1164">
        <v>503.4</v>
      </c>
      <c r="X356" s="50"/>
      <c r="Y356" s="50"/>
      <c r="Z356" s="50"/>
      <c r="AA356" s="171"/>
    </row>
    <row r="357" spans="3:27" s="230" customFormat="1" hidden="1">
      <c r="C357" s="1204"/>
      <c r="D357" s="173" t="str">
        <f>IF(Indice_index!$Z$1=1,"novembro","November")</f>
        <v>November</v>
      </c>
      <c r="E357" s="1271">
        <v>646</v>
      </c>
      <c r="F357" s="1271">
        <v>82</v>
      </c>
      <c r="G357" s="1271">
        <v>767</v>
      </c>
      <c r="H357" s="1271">
        <v>1495</v>
      </c>
      <c r="I357" s="1271">
        <v>974</v>
      </c>
      <c r="J357" s="1164">
        <v>678062.34</v>
      </c>
      <c r="K357" s="1164">
        <v>78490.509999999995</v>
      </c>
      <c r="L357" s="1164">
        <v>407768.24</v>
      </c>
      <c r="M357" s="1164">
        <v>1164321.0900000001</v>
      </c>
      <c r="N357" s="1164">
        <v>1016231.87</v>
      </c>
      <c r="O357" s="1164">
        <v>1039.2</v>
      </c>
      <c r="P357" s="1164">
        <v>531.6</v>
      </c>
      <c r="X357" s="50"/>
      <c r="Y357" s="50"/>
      <c r="Z357" s="50"/>
      <c r="AA357" s="171"/>
    </row>
    <row r="358" spans="3:27" s="230" customFormat="1" hidden="1">
      <c r="C358" s="1204"/>
      <c r="D358" s="173" t="str">
        <f>IF(Indice_index!$Z$1=1,"dezembro","December")</f>
        <v>December</v>
      </c>
      <c r="E358" s="1271">
        <v>647</v>
      </c>
      <c r="F358" s="1271">
        <v>185</v>
      </c>
      <c r="G358" s="1271">
        <v>719</v>
      </c>
      <c r="H358" s="1271">
        <v>1551</v>
      </c>
      <c r="I358" s="1271">
        <v>935</v>
      </c>
      <c r="J358" s="1164">
        <v>645465.87</v>
      </c>
      <c r="K358" s="1164">
        <v>219634.42</v>
      </c>
      <c r="L358" s="1164">
        <v>340514.09</v>
      </c>
      <c r="M358" s="1164">
        <v>1205614.3799999999</v>
      </c>
      <c r="N358" s="1164">
        <v>983801.21</v>
      </c>
      <c r="O358" s="1164">
        <v>1039.8</v>
      </c>
      <c r="P358" s="1164">
        <v>473.6</v>
      </c>
      <c r="X358" s="50"/>
      <c r="Y358" s="50"/>
      <c r="Z358" s="50"/>
      <c r="AA358" s="171"/>
    </row>
    <row r="359" spans="3:27" s="230" customFormat="1" hidden="1">
      <c r="C359" s="299">
        <v>2016</v>
      </c>
      <c r="D359" s="172"/>
      <c r="E359" s="1271"/>
      <c r="F359" s="1271"/>
      <c r="G359" s="1271"/>
      <c r="H359" s="1271"/>
      <c r="I359" s="1271"/>
      <c r="J359" s="1164"/>
      <c r="K359" s="1164"/>
      <c r="L359" s="1164"/>
      <c r="M359" s="1164"/>
      <c r="N359" s="1164"/>
      <c r="O359" s="1164"/>
      <c r="P359" s="1164"/>
      <c r="X359" s="50"/>
      <c r="Y359" s="50"/>
      <c r="Z359" s="50"/>
      <c r="AA359" s="171"/>
    </row>
    <row r="360" spans="3:27" s="230" customFormat="1" hidden="1">
      <c r="C360" s="1204"/>
      <c r="D360" s="173" t="str">
        <f>IF(Indice_index!$Z$1=1,"janeiro","January")</f>
        <v>January</v>
      </c>
      <c r="E360" s="1271">
        <v>581</v>
      </c>
      <c r="F360" s="1271">
        <v>114</v>
      </c>
      <c r="G360" s="1271">
        <v>551</v>
      </c>
      <c r="H360" s="1271">
        <v>1246</v>
      </c>
      <c r="I360" s="1271">
        <v>898</v>
      </c>
      <c r="J360" s="1164">
        <v>556067.03</v>
      </c>
      <c r="K360" s="1164">
        <v>121174.09</v>
      </c>
      <c r="L360" s="1164">
        <v>286234.01</v>
      </c>
      <c r="M360" s="1164">
        <v>963475.13</v>
      </c>
      <c r="N360" s="1164">
        <v>965165.38</v>
      </c>
      <c r="O360" s="1164">
        <v>974.4</v>
      </c>
      <c r="P360" s="1164">
        <v>519.5</v>
      </c>
      <c r="X360" s="50"/>
      <c r="Y360" s="50"/>
      <c r="Z360" s="50"/>
      <c r="AA360" s="171"/>
    </row>
    <row r="361" spans="3:27" s="230" customFormat="1" hidden="1">
      <c r="C361" s="1204"/>
      <c r="D361" s="173" t="str">
        <f>IF(Indice_index!$Z$1=1,"fevereiro","February")</f>
        <v>February</v>
      </c>
      <c r="E361" s="1271">
        <v>608</v>
      </c>
      <c r="F361" s="1271">
        <v>81</v>
      </c>
      <c r="G361" s="1271">
        <v>608</v>
      </c>
      <c r="H361" s="1271">
        <v>1297</v>
      </c>
      <c r="I361" s="1271">
        <v>1117</v>
      </c>
      <c r="J361" s="1164">
        <v>577088.16</v>
      </c>
      <c r="K361" s="1164">
        <v>93877.26</v>
      </c>
      <c r="L361" s="1164">
        <v>298416.71999999997</v>
      </c>
      <c r="M361" s="1164">
        <v>969381.14</v>
      </c>
      <c r="N361" s="1164">
        <v>1166900.32</v>
      </c>
      <c r="O361" s="1164">
        <v>973.8</v>
      </c>
      <c r="P361" s="1164">
        <v>490.8</v>
      </c>
      <c r="X361" s="50"/>
      <c r="Y361" s="50"/>
      <c r="Z361" s="50"/>
      <c r="AA361" s="171"/>
    </row>
    <row r="362" spans="3:27" s="230" customFormat="1" hidden="1">
      <c r="C362" s="1204"/>
      <c r="D362" s="173" t="str">
        <f>IF(Indice_index!$Z$1=1,"março","March")</f>
        <v>March</v>
      </c>
      <c r="E362" s="1271">
        <v>743</v>
      </c>
      <c r="F362" s="1271">
        <v>142</v>
      </c>
      <c r="G362" s="1271">
        <v>663</v>
      </c>
      <c r="H362" s="1271">
        <v>1548</v>
      </c>
      <c r="I362" s="1271">
        <v>1172</v>
      </c>
      <c r="J362" s="1164">
        <v>757732.41</v>
      </c>
      <c r="K362" s="1164">
        <v>164022.62</v>
      </c>
      <c r="L362" s="1164">
        <v>348417.45</v>
      </c>
      <c r="M362" s="1164">
        <v>1270172.48</v>
      </c>
      <c r="N362" s="1164">
        <v>1212648.3999999999</v>
      </c>
      <c r="O362" s="1164">
        <v>1041.5</v>
      </c>
      <c r="P362" s="1164">
        <v>525.5</v>
      </c>
      <c r="X362" s="50"/>
      <c r="Y362" s="50"/>
      <c r="Z362" s="50"/>
      <c r="AA362" s="171"/>
    </row>
    <row r="363" spans="3:27" s="230" customFormat="1" hidden="1">
      <c r="C363" s="1204"/>
      <c r="D363" s="173" t="str">
        <f>IF(Indice_index!$Z$1=1,"abril","April")</f>
        <v>April</v>
      </c>
      <c r="E363" s="1271">
        <v>796</v>
      </c>
      <c r="F363" s="1271">
        <v>145</v>
      </c>
      <c r="G363" s="1271">
        <v>810</v>
      </c>
      <c r="H363" s="1271">
        <v>1751</v>
      </c>
      <c r="I363" s="1271">
        <v>1163</v>
      </c>
      <c r="J363" s="1164">
        <v>709955.13</v>
      </c>
      <c r="K363" s="1164">
        <v>144923.67000000001</v>
      </c>
      <c r="L363" s="1164">
        <v>423348.57</v>
      </c>
      <c r="M363" s="1164">
        <v>1278227.3700000001</v>
      </c>
      <c r="N363" s="1164">
        <v>1280346.29</v>
      </c>
      <c r="O363" s="1164">
        <v>908.4</v>
      </c>
      <c r="P363" s="1164">
        <v>522.70000000000005</v>
      </c>
      <c r="X363" s="50"/>
      <c r="Y363" s="50"/>
      <c r="Z363" s="50"/>
      <c r="AA363" s="171"/>
    </row>
    <row r="364" spans="3:27" s="230" customFormat="1" hidden="1">
      <c r="C364" s="1204"/>
      <c r="D364" s="173" t="str">
        <f>IF(Indice_index!$Z$1=1,"maio","May")</f>
        <v>May</v>
      </c>
      <c r="E364" s="1271">
        <v>540</v>
      </c>
      <c r="F364" s="1271">
        <v>127</v>
      </c>
      <c r="G364" s="1271">
        <v>707</v>
      </c>
      <c r="H364" s="1271">
        <v>1374</v>
      </c>
      <c r="I364" s="1271">
        <v>1143</v>
      </c>
      <c r="J364" s="1164">
        <v>447117.33</v>
      </c>
      <c r="K364" s="1164">
        <v>130857.16</v>
      </c>
      <c r="L364" s="1164">
        <v>347806.21</v>
      </c>
      <c r="M364" s="1164">
        <v>925780.7</v>
      </c>
      <c r="N364" s="1164">
        <v>1225053.6299999999</v>
      </c>
      <c r="O364" s="1164">
        <v>866.5</v>
      </c>
      <c r="P364" s="1164">
        <v>491.9</v>
      </c>
      <c r="X364" s="50"/>
      <c r="Y364" s="50"/>
      <c r="Z364" s="50"/>
      <c r="AA364" s="171"/>
    </row>
    <row r="365" spans="3:27" s="230" customFormat="1" hidden="1">
      <c r="C365" s="1204"/>
      <c r="D365" s="173" t="str">
        <f>IF(Indice_index!$Z$1=1,"junho","June")</f>
        <v>June</v>
      </c>
      <c r="E365" s="1271">
        <v>602</v>
      </c>
      <c r="F365" s="1271">
        <v>151</v>
      </c>
      <c r="G365" s="1271">
        <v>906</v>
      </c>
      <c r="H365" s="1272">
        <v>1659</v>
      </c>
      <c r="I365" s="1271">
        <v>1092</v>
      </c>
      <c r="J365" s="1164">
        <v>463727.65</v>
      </c>
      <c r="K365" s="1164">
        <v>137148.81</v>
      </c>
      <c r="L365" s="1164">
        <v>458482.88</v>
      </c>
      <c r="M365" s="1273">
        <v>1059359.3400000001</v>
      </c>
      <c r="N365" s="1164">
        <v>1125006.02</v>
      </c>
      <c r="O365" s="230">
        <v>798</v>
      </c>
      <c r="P365" s="230">
        <v>506.1</v>
      </c>
      <c r="X365" s="50"/>
      <c r="Y365" s="50"/>
      <c r="Z365" s="50"/>
      <c r="AA365" s="171"/>
    </row>
    <row r="366" spans="3:27" s="230" customFormat="1" hidden="1">
      <c r="C366" s="1204"/>
      <c r="D366" s="173" t="str">
        <f>IF(Indice_index!$Z$1=1,"julho","July")</f>
        <v>July</v>
      </c>
      <c r="E366" s="1271">
        <v>489</v>
      </c>
      <c r="F366" s="1271">
        <v>172</v>
      </c>
      <c r="G366" s="1271">
        <v>633</v>
      </c>
      <c r="H366" s="1272">
        <v>1294</v>
      </c>
      <c r="I366" s="1271">
        <v>957</v>
      </c>
      <c r="J366" s="1164">
        <v>416511.64</v>
      </c>
      <c r="K366" s="1164">
        <v>160737.88</v>
      </c>
      <c r="L366" s="1164">
        <v>316744.83</v>
      </c>
      <c r="M366" s="1273">
        <v>893994.35</v>
      </c>
      <c r="N366" s="1164">
        <v>1020151.33</v>
      </c>
      <c r="O366" s="230">
        <v>873.3</v>
      </c>
      <c r="P366" s="230">
        <v>500.4</v>
      </c>
      <c r="X366" s="50"/>
      <c r="Y366" s="50"/>
      <c r="Z366" s="50"/>
      <c r="AA366" s="171"/>
    </row>
    <row r="367" spans="3:27" s="230" customFormat="1" hidden="1">
      <c r="C367" s="1204"/>
      <c r="D367" s="173" t="str">
        <f>IF(Indice_index!$Z$1=1,"agosto","August")</f>
        <v>August</v>
      </c>
      <c r="E367" s="1271">
        <v>503</v>
      </c>
      <c r="F367" s="1271">
        <v>167</v>
      </c>
      <c r="G367" s="1271">
        <v>559</v>
      </c>
      <c r="H367" s="1272">
        <v>1229</v>
      </c>
      <c r="I367" s="1271">
        <v>911</v>
      </c>
      <c r="J367" s="1164">
        <v>441955.65</v>
      </c>
      <c r="K367" s="1164">
        <v>168720.69</v>
      </c>
      <c r="L367" s="1164">
        <v>270402.07</v>
      </c>
      <c r="M367" s="1273">
        <v>881078.41000000015</v>
      </c>
      <c r="N367" s="1164">
        <v>989137.72</v>
      </c>
      <c r="O367" s="230">
        <v>911.5</v>
      </c>
      <c r="P367" s="230">
        <v>483.7</v>
      </c>
      <c r="X367" s="50"/>
      <c r="Y367" s="50"/>
      <c r="Z367" s="50"/>
      <c r="AA367" s="171"/>
    </row>
    <row r="368" spans="3:27" s="230" customFormat="1" hidden="1">
      <c r="C368" s="1204"/>
      <c r="D368" s="173" t="str">
        <f>IF(Indice_index!$Z$1=1,"setembro","September")</f>
        <v>September</v>
      </c>
      <c r="E368" s="1271">
        <v>561</v>
      </c>
      <c r="F368" s="1271">
        <v>197</v>
      </c>
      <c r="G368" s="1271">
        <v>647</v>
      </c>
      <c r="H368" s="1272">
        <v>1405</v>
      </c>
      <c r="I368" s="1271">
        <v>966</v>
      </c>
      <c r="J368" s="1164">
        <v>590543.46</v>
      </c>
      <c r="K368" s="1164">
        <v>187237.62</v>
      </c>
      <c r="L368" s="1164">
        <v>341862.92</v>
      </c>
      <c r="M368" s="1273">
        <v>1119644</v>
      </c>
      <c r="N368" s="1164">
        <v>1028801.2</v>
      </c>
      <c r="O368" s="230">
        <v>1026.0999999999999</v>
      </c>
      <c r="P368" s="230">
        <v>528.4</v>
      </c>
      <c r="X368" s="50"/>
      <c r="Y368" s="50"/>
      <c r="Z368" s="50"/>
      <c r="AA368" s="171"/>
    </row>
    <row r="369" spans="3:29" s="230" customFormat="1" hidden="1">
      <c r="C369" s="1204"/>
      <c r="D369" s="173" t="str">
        <f>IF(Indice_index!$Z$1=1,"outubro","October")</f>
        <v>October</v>
      </c>
      <c r="E369" s="1271">
        <v>523</v>
      </c>
      <c r="F369" s="1271">
        <v>146</v>
      </c>
      <c r="G369" s="1271">
        <v>491</v>
      </c>
      <c r="H369" s="1272">
        <v>1160</v>
      </c>
      <c r="I369" s="1271">
        <v>1004</v>
      </c>
      <c r="J369" s="1164">
        <v>481812.93</v>
      </c>
      <c r="K369" s="1164">
        <v>139106.82</v>
      </c>
      <c r="L369" s="1164">
        <v>246229.43</v>
      </c>
      <c r="M369" s="1273">
        <v>867149.18</v>
      </c>
      <c r="N369" s="1164">
        <v>1043795.75</v>
      </c>
      <c r="O369" s="230">
        <v>928.1</v>
      </c>
      <c r="P369" s="230">
        <v>501.5</v>
      </c>
      <c r="X369" s="50"/>
      <c r="Y369" s="50"/>
      <c r="Z369" s="50"/>
      <c r="AA369" s="171"/>
    </row>
    <row r="370" spans="3:29" s="230" customFormat="1" hidden="1">
      <c r="C370" s="1204"/>
      <c r="D370" s="173" t="str">
        <f>IF(Indice_index!$Z$1=1,"novembro","November")</f>
        <v>November</v>
      </c>
      <c r="E370" s="1271">
        <v>450</v>
      </c>
      <c r="F370" s="1271">
        <v>80</v>
      </c>
      <c r="G370" s="1271">
        <v>774</v>
      </c>
      <c r="H370" s="1272">
        <v>1304</v>
      </c>
      <c r="I370" s="1271">
        <v>946</v>
      </c>
      <c r="J370" s="1164">
        <v>408562.65</v>
      </c>
      <c r="K370" s="1164">
        <v>72794.44</v>
      </c>
      <c r="L370" s="1164">
        <v>390158.55</v>
      </c>
      <c r="M370" s="1273">
        <v>871515.61</v>
      </c>
      <c r="N370" s="1164">
        <v>977121.49</v>
      </c>
      <c r="O370" s="230">
        <v>908.2</v>
      </c>
      <c r="P370" s="230">
        <v>504.1</v>
      </c>
      <c r="X370" s="50"/>
      <c r="Y370" s="50"/>
      <c r="Z370" s="50"/>
      <c r="AA370" s="171"/>
    </row>
    <row r="371" spans="3:29" s="230" customFormat="1" hidden="1">
      <c r="C371" s="1204"/>
      <c r="D371" s="173" t="str">
        <f>IF(Indice_index!$Z$1=1,"dezembro","December")</f>
        <v>December</v>
      </c>
      <c r="E371" s="1271">
        <v>634</v>
      </c>
      <c r="F371" s="1271">
        <v>175</v>
      </c>
      <c r="G371" s="1271">
        <v>650</v>
      </c>
      <c r="H371" s="1272">
        <v>1459</v>
      </c>
      <c r="I371" s="1271">
        <v>1013</v>
      </c>
      <c r="J371" s="1164">
        <v>637254.05000000005</v>
      </c>
      <c r="K371" s="1164">
        <v>156384.87</v>
      </c>
      <c r="L371" s="1164">
        <v>321538.2</v>
      </c>
      <c r="M371" s="1273">
        <v>1115177.1200000001</v>
      </c>
      <c r="N371" s="1164">
        <v>1087068.3899999999</v>
      </c>
      <c r="O371" s="230">
        <v>981</v>
      </c>
      <c r="P371" s="230">
        <v>494.7</v>
      </c>
      <c r="X371" s="50"/>
      <c r="Y371" s="50"/>
      <c r="Z371" s="50"/>
      <c r="AA371" s="171"/>
    </row>
    <row r="372" spans="3:29" s="230" customFormat="1" hidden="1">
      <c r="C372" s="299">
        <v>2017</v>
      </c>
      <c r="D372" s="172"/>
      <c r="E372" s="1271"/>
      <c r="F372" s="1271"/>
      <c r="G372" s="1271"/>
      <c r="H372" s="1271"/>
      <c r="I372" s="1271"/>
      <c r="J372" s="1164"/>
      <c r="K372" s="1164"/>
      <c r="L372" s="1164"/>
      <c r="M372" s="1164"/>
      <c r="N372" s="1164"/>
      <c r="O372" s="1164"/>
      <c r="P372" s="1164"/>
      <c r="X372" s="50"/>
      <c r="Y372" s="50"/>
      <c r="Z372" s="50"/>
      <c r="AA372" s="171"/>
    </row>
    <row r="373" spans="3:29" s="172" customFormat="1" ht="11.25" hidden="1">
      <c r="C373" s="1274"/>
      <c r="D373" s="173" t="str">
        <f>IF(Indice_index!$Z$1=1,"janeiro","January")</f>
        <v>January</v>
      </c>
      <c r="E373" s="1271">
        <v>786</v>
      </c>
      <c r="F373" s="1271">
        <v>140</v>
      </c>
      <c r="G373" s="1271">
        <v>593</v>
      </c>
      <c r="H373" s="1271">
        <v>1519</v>
      </c>
      <c r="I373" s="1271">
        <v>977</v>
      </c>
      <c r="J373" s="1164">
        <v>578370.84</v>
      </c>
      <c r="K373" s="1164">
        <v>138294.88</v>
      </c>
      <c r="L373" s="1164">
        <v>296116.46999999997</v>
      </c>
      <c r="M373" s="1164">
        <v>1012782.19</v>
      </c>
      <c r="N373" s="1164">
        <v>1011409.09</v>
      </c>
      <c r="O373" s="1164">
        <v>773.9</v>
      </c>
      <c r="P373" s="1164">
        <v>499.4</v>
      </c>
      <c r="R373" s="230"/>
      <c r="S373" s="230"/>
      <c r="T373" s="230"/>
      <c r="U373" s="230"/>
      <c r="V373" s="230"/>
      <c r="W373" s="230"/>
      <c r="X373" s="230"/>
      <c r="Y373" s="230"/>
      <c r="Z373" s="230"/>
      <c r="AA373" s="230"/>
      <c r="AB373" s="230"/>
      <c r="AC373" s="230"/>
    </row>
    <row r="374" spans="3:29" s="172" customFormat="1" ht="11.25" hidden="1">
      <c r="C374" s="1274"/>
      <c r="D374" s="173" t="str">
        <f>IF(Indice_index!$Z$1=1,"fevereiro","February")</f>
        <v>February</v>
      </c>
      <c r="E374" s="1271">
        <v>573</v>
      </c>
      <c r="F374" s="1271">
        <v>127</v>
      </c>
      <c r="G374" s="1271">
        <v>756</v>
      </c>
      <c r="H374" s="1271">
        <v>1456</v>
      </c>
      <c r="I374" s="1271">
        <v>1520</v>
      </c>
      <c r="J374" s="1164">
        <v>582431.9</v>
      </c>
      <c r="K374" s="1164">
        <v>128892.18</v>
      </c>
      <c r="L374" s="1164">
        <v>394383.93</v>
      </c>
      <c r="M374" s="1164">
        <v>1105708.01</v>
      </c>
      <c r="N374" s="1164">
        <v>1609971.21</v>
      </c>
      <c r="O374" s="1164">
        <v>1016.2</v>
      </c>
      <c r="P374" s="1164">
        <v>521.70000000000005</v>
      </c>
      <c r="R374" s="230"/>
      <c r="S374" s="230"/>
      <c r="T374" s="230"/>
      <c r="U374" s="230"/>
      <c r="V374" s="230"/>
      <c r="W374" s="230"/>
      <c r="X374" s="230"/>
      <c r="Y374" s="230"/>
      <c r="Z374" s="230"/>
      <c r="AA374" s="230"/>
      <c r="AB374" s="230"/>
      <c r="AC374" s="230"/>
    </row>
    <row r="375" spans="3:29" s="230" customFormat="1" ht="11.25" hidden="1">
      <c r="C375" s="299"/>
      <c r="D375" s="173" t="str">
        <f>IF(Indice_index!$Z$1=1,"março","March")</f>
        <v>March</v>
      </c>
      <c r="E375" s="1271">
        <v>374</v>
      </c>
      <c r="F375" s="1271">
        <v>148</v>
      </c>
      <c r="G375" s="1271">
        <v>899</v>
      </c>
      <c r="H375" s="1271">
        <v>1421</v>
      </c>
      <c r="I375" s="1271">
        <v>1377</v>
      </c>
      <c r="J375" s="1164">
        <v>394397.49</v>
      </c>
      <c r="K375" s="1164">
        <v>160746.25</v>
      </c>
      <c r="L375" s="1164">
        <v>461100.92</v>
      </c>
      <c r="M375" s="1164">
        <v>1016244.66</v>
      </c>
      <c r="N375" s="1164">
        <v>1410294.92</v>
      </c>
      <c r="O375" s="1164">
        <v>1063.5</v>
      </c>
      <c r="P375" s="1164">
        <v>512.9</v>
      </c>
    </row>
    <row r="376" spans="3:29" s="230" customFormat="1" ht="11.25" hidden="1">
      <c r="C376" s="299"/>
      <c r="D376" s="173" t="str">
        <f>IF(Indice_index!$Z$1=1,"abril","April")</f>
        <v>April</v>
      </c>
      <c r="E376" s="1271">
        <v>541</v>
      </c>
      <c r="F376" s="1271">
        <v>157</v>
      </c>
      <c r="G376" s="1271">
        <v>820</v>
      </c>
      <c r="H376" s="1271">
        <v>1518</v>
      </c>
      <c r="I376" s="1271">
        <v>1227</v>
      </c>
      <c r="J376" s="1164">
        <v>649425</v>
      </c>
      <c r="K376" s="1164">
        <v>142514.06</v>
      </c>
      <c r="L376" s="1164">
        <v>435970.18</v>
      </c>
      <c r="M376" s="1164">
        <v>1227909.24</v>
      </c>
      <c r="N376" s="1164">
        <v>1306714.6399999999</v>
      </c>
      <c r="O376" s="1164">
        <v>1134.5999999999999</v>
      </c>
      <c r="P376" s="1164">
        <v>531.70000000000005</v>
      </c>
    </row>
    <row r="377" spans="3:29" s="230" customFormat="1" ht="12.75" hidden="1" customHeight="1">
      <c r="C377" s="299"/>
      <c r="D377" s="173" t="str">
        <f>IF(Indice_index!$Z$1=1,"maio","May")</f>
        <v>May</v>
      </c>
      <c r="E377" s="1271">
        <v>787</v>
      </c>
      <c r="F377" s="1271">
        <v>137</v>
      </c>
      <c r="G377" s="1271">
        <v>667</v>
      </c>
      <c r="H377" s="1271">
        <v>1591</v>
      </c>
      <c r="I377" s="1271">
        <v>965</v>
      </c>
      <c r="J377" s="1164">
        <v>1126009.55</v>
      </c>
      <c r="K377" s="1164">
        <v>142162</v>
      </c>
      <c r="L377" s="1164">
        <v>344238.68</v>
      </c>
      <c r="M377" s="1164">
        <v>1612410.23</v>
      </c>
      <c r="N377" s="1164">
        <v>1013052.58</v>
      </c>
      <c r="O377" s="1164">
        <v>1372.5</v>
      </c>
      <c r="P377" s="1164">
        <v>516.1</v>
      </c>
    </row>
    <row r="378" spans="3:29" s="230" customFormat="1" ht="12.75" hidden="1" customHeight="1">
      <c r="C378" s="299"/>
      <c r="D378" s="173" t="str">
        <f>IF(Indice_index!$Z$1=1,"junho","June")</f>
        <v>June</v>
      </c>
      <c r="E378" s="1271">
        <v>1047</v>
      </c>
      <c r="F378" s="1271">
        <v>142</v>
      </c>
      <c r="G378" s="1271">
        <v>828</v>
      </c>
      <c r="H378" s="1271">
        <v>2017</v>
      </c>
      <c r="I378" s="1271">
        <v>1057</v>
      </c>
      <c r="J378" s="1164">
        <v>1177461.47</v>
      </c>
      <c r="K378" s="1164">
        <v>163205.15</v>
      </c>
      <c r="L378" s="1164">
        <v>427465.75</v>
      </c>
      <c r="M378" s="1164">
        <v>1768132.37</v>
      </c>
      <c r="N378" s="1164">
        <v>1121550.1299999999</v>
      </c>
      <c r="O378" s="1164">
        <v>1127.5999999999999</v>
      </c>
      <c r="P378" s="1164">
        <v>516.29999999999995</v>
      </c>
    </row>
    <row r="379" spans="3:29" s="230" customFormat="1" ht="12.75" hidden="1" customHeight="1">
      <c r="C379" s="299"/>
      <c r="D379" s="173" t="str">
        <f>IF(Indice_index!$Z$1=1,"julho","July")</f>
        <v>July</v>
      </c>
      <c r="E379" s="1271">
        <v>1387</v>
      </c>
      <c r="F379" s="1271">
        <v>166</v>
      </c>
      <c r="G379" s="1271">
        <v>557</v>
      </c>
      <c r="H379" s="1271">
        <v>2110</v>
      </c>
      <c r="I379" s="1271">
        <v>988</v>
      </c>
      <c r="J379" s="1164">
        <v>1562695.69</v>
      </c>
      <c r="K379" s="1164">
        <v>159216.19</v>
      </c>
      <c r="L379" s="1164">
        <v>302530.78999999998</v>
      </c>
      <c r="M379" s="1164">
        <v>2024442.67</v>
      </c>
      <c r="N379" s="1164">
        <v>1023568.02</v>
      </c>
      <c r="O379" s="1164">
        <v>1108.8</v>
      </c>
      <c r="P379" s="1164">
        <v>543.1</v>
      </c>
    </row>
    <row r="380" spans="3:29" s="230" customFormat="1" ht="12.75" hidden="1" customHeight="1">
      <c r="C380" s="299"/>
      <c r="D380" s="173" t="str">
        <f>IF(Indice_index!$Z$1=1,"agosto","August")</f>
        <v>August</v>
      </c>
      <c r="E380" s="1271">
        <v>1277</v>
      </c>
      <c r="F380" s="1271">
        <v>113</v>
      </c>
      <c r="G380" s="1271">
        <v>567</v>
      </c>
      <c r="H380" s="1271">
        <v>1957</v>
      </c>
      <c r="I380" s="1271">
        <v>995</v>
      </c>
      <c r="J380" s="1164">
        <v>1333807.08</v>
      </c>
      <c r="K380" s="1164">
        <v>126989.99</v>
      </c>
      <c r="L380" s="1164">
        <v>297063.33</v>
      </c>
      <c r="M380" s="1164">
        <v>1757860.4</v>
      </c>
      <c r="N380" s="1164">
        <v>914810.8</v>
      </c>
      <c r="O380" s="1164">
        <v>1050.9000000000001</v>
      </c>
      <c r="P380" s="1164">
        <v>523.9</v>
      </c>
    </row>
    <row r="381" spans="3:29" s="230" customFormat="1" ht="12.75" hidden="1" customHeight="1">
      <c r="C381" s="299"/>
      <c r="D381" s="173" t="str">
        <f>IF(Indice_index!$Z$1=1,"setembro","September")</f>
        <v>September</v>
      </c>
      <c r="E381" s="1271">
        <v>935</v>
      </c>
      <c r="F381" s="1271">
        <v>180</v>
      </c>
      <c r="G381" s="1271">
        <v>648</v>
      </c>
      <c r="H381" s="1271">
        <v>1763</v>
      </c>
      <c r="I381" s="1271">
        <v>925</v>
      </c>
      <c r="J381" s="1164">
        <v>1395259.46</v>
      </c>
      <c r="K381" s="1164">
        <v>185588.5</v>
      </c>
      <c r="L381" s="1164">
        <v>325847.75</v>
      </c>
      <c r="M381" s="1164">
        <v>1906695.71</v>
      </c>
      <c r="N381" s="1164">
        <v>1001667.37</v>
      </c>
      <c r="O381" s="1164">
        <v>1417.8</v>
      </c>
      <c r="P381" s="1164">
        <v>502.9</v>
      </c>
    </row>
    <row r="382" spans="3:29" s="230" customFormat="1" ht="12.75" hidden="1" customHeight="1">
      <c r="C382" s="299"/>
      <c r="D382" s="173" t="str">
        <f>IF(Indice_index!$Z$1=1,"outubro","October")</f>
        <v>October</v>
      </c>
      <c r="E382" s="1271">
        <v>1011</v>
      </c>
      <c r="F382" s="1271">
        <v>67</v>
      </c>
      <c r="G382" s="1271">
        <v>4020</v>
      </c>
      <c r="H382" s="1271">
        <v>5098</v>
      </c>
      <c r="I382" s="1271">
        <v>941</v>
      </c>
      <c r="J382" s="1164">
        <v>1275119.77</v>
      </c>
      <c r="K382" s="1164">
        <v>80781.440000000002</v>
      </c>
      <c r="L382" s="1164">
        <v>886881.41</v>
      </c>
      <c r="M382" s="1164">
        <v>2242782.62</v>
      </c>
      <c r="N382" s="1164">
        <v>1009636.48</v>
      </c>
      <c r="O382" s="1164">
        <v>1257.8</v>
      </c>
      <c r="P382" s="1164">
        <v>220.6</v>
      </c>
    </row>
    <row r="383" spans="3:29" s="172" customFormat="1" ht="12.75" hidden="1" customHeight="1">
      <c r="C383" s="1274"/>
      <c r="D383" s="173" t="str">
        <f>IF(Indice_index!$Z$1=1,"novembro","November")</f>
        <v>November</v>
      </c>
      <c r="E383" s="1271">
        <v>1160</v>
      </c>
      <c r="F383" s="1271">
        <v>161</v>
      </c>
      <c r="G383" s="1271">
        <v>717</v>
      </c>
      <c r="H383" s="1271">
        <v>2038</v>
      </c>
      <c r="I383" s="1271">
        <v>979</v>
      </c>
      <c r="J383" s="1164">
        <v>1888615.66</v>
      </c>
      <c r="K383" s="1164">
        <v>155626.68</v>
      </c>
      <c r="L383" s="1164">
        <v>360787.04</v>
      </c>
      <c r="M383" s="1164">
        <v>2405029.38</v>
      </c>
      <c r="N383" s="1164">
        <v>1056929.01</v>
      </c>
      <c r="O383" s="1164">
        <v>1547.5</v>
      </c>
      <c r="P383" s="1164">
        <v>503.2</v>
      </c>
      <c r="R383" s="230"/>
      <c r="S383" s="230"/>
      <c r="T383" s="230"/>
      <c r="U383" s="230"/>
      <c r="V383" s="230"/>
      <c r="W383" s="230"/>
      <c r="X383" s="230"/>
      <c r="Y383" s="230"/>
      <c r="Z383" s="230"/>
      <c r="AA383" s="230"/>
      <c r="AB383" s="230"/>
      <c r="AC383" s="230"/>
    </row>
    <row r="384" spans="3:29" s="230" customFormat="1" ht="11.25" hidden="1">
      <c r="C384" s="1204"/>
      <c r="D384" s="173" t="str">
        <f>IF(Indice_index!$Z$1=1,"dezembro","December")</f>
        <v>December</v>
      </c>
      <c r="E384" s="1271">
        <v>698</v>
      </c>
      <c r="F384" s="1271">
        <v>184</v>
      </c>
      <c r="G384" s="1271">
        <v>851</v>
      </c>
      <c r="H384" s="1271">
        <v>1733</v>
      </c>
      <c r="I384" s="1271">
        <v>1084</v>
      </c>
      <c r="J384" s="1164">
        <v>798282.51</v>
      </c>
      <c r="K384" s="1164">
        <v>152255.45000000001</v>
      </c>
      <c r="L384" s="1164">
        <v>447597.94</v>
      </c>
      <c r="M384" s="1164">
        <v>1398135.9</v>
      </c>
      <c r="N384" s="1164">
        <v>1138241.57</v>
      </c>
      <c r="O384" s="1164">
        <v>1077.7</v>
      </c>
      <c r="P384" s="1164">
        <v>526</v>
      </c>
    </row>
    <row r="385" spans="3:29" s="230" customFormat="1" ht="15" hidden="1" customHeight="1">
      <c r="C385" s="299">
        <v>2018</v>
      </c>
      <c r="D385" s="172"/>
      <c r="E385" s="1271"/>
      <c r="F385" s="1271"/>
      <c r="G385" s="1271"/>
      <c r="H385" s="1271"/>
      <c r="I385" s="1271"/>
      <c r="J385" s="1164"/>
      <c r="K385" s="1164"/>
      <c r="L385" s="1164"/>
      <c r="M385" s="1164"/>
      <c r="N385" s="1164"/>
      <c r="O385" s="1164"/>
      <c r="P385" s="1164"/>
      <c r="X385" s="50"/>
      <c r="Y385" s="50"/>
      <c r="Z385" s="50"/>
      <c r="AA385" s="171"/>
    </row>
    <row r="386" spans="3:29" s="172" customFormat="1" ht="15" hidden="1" customHeight="1">
      <c r="C386" s="1274"/>
      <c r="D386" s="173" t="str">
        <f>IF(Indice_index!$Z$1=1,"janeiro","January")</f>
        <v>January</v>
      </c>
      <c r="E386" s="171">
        <v>704</v>
      </c>
      <c r="F386" s="171">
        <v>125</v>
      </c>
      <c r="G386" s="171">
        <v>557</v>
      </c>
      <c r="H386" s="171">
        <v>1386</v>
      </c>
      <c r="I386" s="171">
        <v>982</v>
      </c>
      <c r="J386" s="230">
        <v>649244.81999999995</v>
      </c>
      <c r="K386" s="230">
        <v>118696.11</v>
      </c>
      <c r="L386" s="230">
        <v>289384.83</v>
      </c>
      <c r="M386" s="230">
        <v>1057325.76</v>
      </c>
      <c r="N386" s="230">
        <v>1016310.96</v>
      </c>
      <c r="O386" s="230">
        <v>926.3</v>
      </c>
      <c r="P386" s="230">
        <v>519.5</v>
      </c>
      <c r="R386" s="231"/>
      <c r="S386" s="231"/>
      <c r="T386" s="231"/>
      <c r="U386" s="231"/>
      <c r="V386" s="231"/>
      <c r="W386" s="231"/>
      <c r="X386" s="231"/>
      <c r="Y386" s="231"/>
      <c r="Z386" s="231"/>
      <c r="AA386" s="231"/>
      <c r="AB386" s="231"/>
      <c r="AC386" s="231"/>
    </row>
    <row r="387" spans="3:29" s="172" customFormat="1" ht="15" hidden="1" customHeight="1">
      <c r="C387" s="1274"/>
      <c r="D387" s="173" t="str">
        <f>IF(Indice_index!$Z$1=1,"fevereiro","February")</f>
        <v>February</v>
      </c>
      <c r="E387" s="171">
        <v>736</v>
      </c>
      <c r="F387" s="171">
        <v>82</v>
      </c>
      <c r="G387" s="171">
        <v>677</v>
      </c>
      <c r="H387" s="171">
        <v>1495</v>
      </c>
      <c r="I387" s="171">
        <v>1351</v>
      </c>
      <c r="J387" s="230">
        <v>984989.74</v>
      </c>
      <c r="K387" s="230">
        <v>91052.5</v>
      </c>
      <c r="L387" s="230">
        <v>356073.66</v>
      </c>
      <c r="M387" s="230">
        <v>1432115.9</v>
      </c>
      <c r="N387" s="230">
        <v>1446462.79</v>
      </c>
      <c r="O387" s="230">
        <v>1315.5</v>
      </c>
      <c r="P387" s="230">
        <v>526</v>
      </c>
      <c r="R387" s="231"/>
      <c r="S387" s="231"/>
      <c r="T387" s="231"/>
      <c r="U387" s="231"/>
      <c r="V387" s="231"/>
      <c r="W387" s="231"/>
      <c r="X387" s="231"/>
      <c r="Y387" s="231"/>
      <c r="Z387" s="231"/>
      <c r="AA387" s="231"/>
      <c r="AB387" s="231"/>
      <c r="AC387" s="231"/>
    </row>
    <row r="388" spans="3:29" s="230" customFormat="1" ht="15" hidden="1" customHeight="1">
      <c r="C388" s="299"/>
      <c r="D388" s="173" t="str">
        <f>IF(Indice_index!$Z$1=1,"março","March")</f>
        <v>March</v>
      </c>
      <c r="E388" s="171">
        <v>671</v>
      </c>
      <c r="F388" s="171">
        <v>170</v>
      </c>
      <c r="G388" s="171">
        <v>607</v>
      </c>
      <c r="H388" s="171">
        <v>1448</v>
      </c>
      <c r="I388" s="171">
        <v>1314</v>
      </c>
      <c r="J388" s="230">
        <v>906528.91</v>
      </c>
      <c r="K388" s="230">
        <v>161943.29999999999</v>
      </c>
      <c r="L388" s="230">
        <v>334897.33</v>
      </c>
      <c r="M388" s="230">
        <v>1403369.54</v>
      </c>
      <c r="N388" s="230">
        <v>1384282.53</v>
      </c>
      <c r="O388" s="230">
        <v>1270.5</v>
      </c>
      <c r="P388" s="230">
        <v>551.70000000000005</v>
      </c>
      <c r="R388" s="231"/>
      <c r="S388" s="231"/>
      <c r="T388" s="231"/>
      <c r="U388" s="231"/>
      <c r="V388" s="231"/>
      <c r="W388" s="231"/>
      <c r="X388" s="231"/>
      <c r="Y388" s="231"/>
      <c r="Z388" s="231"/>
      <c r="AA388" s="231"/>
      <c r="AB388" s="231"/>
      <c r="AC388" s="231"/>
    </row>
    <row r="389" spans="3:29" s="230" customFormat="1" ht="15" hidden="1" customHeight="1">
      <c r="C389" s="299"/>
      <c r="D389" s="173" t="str">
        <f>IF(Indice_index!$Z$1=1,"abril","April")</f>
        <v>April</v>
      </c>
      <c r="E389" s="171">
        <v>662</v>
      </c>
      <c r="F389" s="171">
        <v>121</v>
      </c>
      <c r="G389" s="171">
        <v>664</v>
      </c>
      <c r="H389" s="171">
        <v>1447</v>
      </c>
      <c r="I389" s="171">
        <v>1498</v>
      </c>
      <c r="J389" s="230">
        <v>880272.05</v>
      </c>
      <c r="K389" s="230">
        <v>130755.48</v>
      </c>
      <c r="L389" s="230">
        <v>334385.78000000003</v>
      </c>
      <c r="M389" s="230">
        <v>1345413.31</v>
      </c>
      <c r="N389" s="230">
        <v>1619775.04</v>
      </c>
      <c r="O389" s="230">
        <v>1291.2</v>
      </c>
      <c r="P389" s="230">
        <v>503.6</v>
      </c>
      <c r="R389" s="231"/>
      <c r="S389" s="231"/>
      <c r="T389" s="231"/>
      <c r="U389" s="231"/>
      <c r="V389" s="231"/>
      <c r="W389" s="231"/>
      <c r="X389" s="231"/>
      <c r="Y389" s="231"/>
      <c r="Z389" s="231"/>
      <c r="AA389" s="231"/>
      <c r="AB389" s="231"/>
      <c r="AC389" s="231"/>
    </row>
    <row r="390" spans="3:29" s="230" customFormat="1" ht="15" hidden="1" customHeight="1">
      <c r="C390" s="299"/>
      <c r="D390" s="173" t="str">
        <f>IF(Indice_index!$Z$1=1,"maio","May")</f>
        <v>May</v>
      </c>
      <c r="E390" s="171">
        <v>960</v>
      </c>
      <c r="F390" s="171">
        <v>137</v>
      </c>
      <c r="G390" s="171">
        <v>652</v>
      </c>
      <c r="H390" s="171">
        <v>1749</v>
      </c>
      <c r="I390" s="171">
        <v>995</v>
      </c>
      <c r="J390" s="230">
        <v>1360647.94</v>
      </c>
      <c r="K390" s="230">
        <v>138764.43</v>
      </c>
      <c r="L390" s="230">
        <v>364375</v>
      </c>
      <c r="M390" s="230">
        <v>1863787.37</v>
      </c>
      <c r="N390" s="230">
        <v>1084089.8</v>
      </c>
      <c r="O390" s="230">
        <v>1366.8</v>
      </c>
      <c r="P390" s="230">
        <v>558.9</v>
      </c>
      <c r="R390" s="231"/>
      <c r="S390" s="231"/>
      <c r="T390" s="231"/>
      <c r="U390" s="231"/>
      <c r="V390" s="231"/>
      <c r="W390" s="231"/>
      <c r="X390" s="231"/>
      <c r="Y390" s="231"/>
      <c r="Z390" s="231"/>
      <c r="AA390" s="231"/>
      <c r="AB390" s="231"/>
      <c r="AC390" s="231"/>
    </row>
    <row r="391" spans="3:29" s="230" customFormat="1" ht="15" hidden="1" customHeight="1">
      <c r="C391" s="299"/>
      <c r="D391" s="173" t="str">
        <f>IF(Indice_index!$Z$1=1,"junho","June")</f>
        <v>June</v>
      </c>
      <c r="E391" s="171">
        <v>719</v>
      </c>
      <c r="F391" s="171">
        <v>122</v>
      </c>
      <c r="G391" s="171">
        <v>607</v>
      </c>
      <c r="H391" s="171">
        <v>1448</v>
      </c>
      <c r="I391" s="171">
        <v>1188</v>
      </c>
      <c r="J391" s="230">
        <v>1057409.9099999999</v>
      </c>
      <c r="K391" s="230">
        <v>111931.88</v>
      </c>
      <c r="L391" s="230">
        <v>329419.95</v>
      </c>
      <c r="M391" s="230">
        <v>1498761.74</v>
      </c>
      <c r="N391" s="230">
        <v>1318705.6299999999</v>
      </c>
      <c r="O391" s="230">
        <v>1390.4</v>
      </c>
      <c r="P391" s="230">
        <v>542.70000000000005</v>
      </c>
      <c r="R391" s="231"/>
      <c r="S391" s="231"/>
      <c r="T391" s="231"/>
      <c r="U391" s="231"/>
      <c r="V391" s="231"/>
      <c r="W391" s="231"/>
      <c r="X391" s="231"/>
      <c r="Y391" s="231"/>
      <c r="Z391" s="231"/>
      <c r="AA391" s="231"/>
      <c r="AB391" s="231"/>
      <c r="AC391" s="231"/>
    </row>
    <row r="392" spans="3:29" s="230" customFormat="1" ht="15" hidden="1" customHeight="1">
      <c r="C392" s="299"/>
      <c r="D392" s="173" t="str">
        <f>IF(Indice_index!$Z$1=1,"julho","July")</f>
        <v>July</v>
      </c>
      <c r="E392" s="171">
        <v>693</v>
      </c>
      <c r="F392" s="171">
        <v>129</v>
      </c>
      <c r="G392" s="171">
        <v>701</v>
      </c>
      <c r="H392" s="171">
        <v>1523</v>
      </c>
      <c r="I392" s="171">
        <v>988</v>
      </c>
      <c r="J392" s="230">
        <v>919354.92</v>
      </c>
      <c r="K392" s="230">
        <v>121307.29</v>
      </c>
      <c r="L392" s="230">
        <v>370489.63</v>
      </c>
      <c r="M392" s="230">
        <v>1411151.84</v>
      </c>
      <c r="N392" s="230">
        <v>1101581.99</v>
      </c>
      <c r="O392" s="230">
        <v>1266</v>
      </c>
      <c r="P392" s="230">
        <v>528.5</v>
      </c>
      <c r="R392" s="231"/>
      <c r="S392" s="231"/>
      <c r="T392" s="231"/>
      <c r="U392" s="231"/>
      <c r="V392" s="231"/>
      <c r="W392" s="231"/>
      <c r="X392" s="231"/>
      <c r="Y392" s="231"/>
      <c r="Z392" s="231"/>
      <c r="AA392" s="231"/>
      <c r="AB392" s="231"/>
      <c r="AC392" s="231"/>
    </row>
    <row r="393" spans="3:29" s="230" customFormat="1" ht="15" hidden="1" customHeight="1">
      <c r="C393" s="299"/>
      <c r="D393" s="173" t="str">
        <f>IF(Indice_index!$Z$1=1,"agosto","August")</f>
        <v>August</v>
      </c>
      <c r="E393" s="1271">
        <v>808</v>
      </c>
      <c r="F393" s="1271">
        <v>99</v>
      </c>
      <c r="G393" s="1271">
        <v>576</v>
      </c>
      <c r="H393" s="1271">
        <v>1483</v>
      </c>
      <c r="I393" s="1271">
        <v>948</v>
      </c>
      <c r="J393" s="1164">
        <v>1121156.8400000001</v>
      </c>
      <c r="K393" s="1164">
        <v>125035.88</v>
      </c>
      <c r="L393" s="1164">
        <v>296873.08</v>
      </c>
      <c r="M393" s="1164">
        <v>1543065.8</v>
      </c>
      <c r="N393" s="1164">
        <v>997270.6</v>
      </c>
      <c r="O393" s="1164">
        <v>1374</v>
      </c>
      <c r="P393" s="1164">
        <v>515.4</v>
      </c>
      <c r="R393" s="231"/>
      <c r="S393" s="231"/>
      <c r="T393" s="231"/>
      <c r="U393" s="231"/>
      <c r="V393" s="231"/>
      <c r="W393" s="231"/>
      <c r="X393" s="231"/>
      <c r="Y393" s="231"/>
      <c r="Z393" s="231"/>
      <c r="AA393" s="231"/>
      <c r="AB393" s="231"/>
      <c r="AC393" s="231"/>
    </row>
    <row r="394" spans="3:29" s="230" customFormat="1" ht="15" hidden="1" customHeight="1">
      <c r="C394" s="299"/>
      <c r="D394" s="173" t="str">
        <f>IF(Indice_index!$Z$1=1,"setembro","September")</f>
        <v>September</v>
      </c>
      <c r="E394" s="1271">
        <v>898</v>
      </c>
      <c r="F394" s="1271">
        <v>139</v>
      </c>
      <c r="G394" s="1271">
        <v>635</v>
      </c>
      <c r="H394" s="1271">
        <v>1672</v>
      </c>
      <c r="I394" s="1271">
        <v>1000</v>
      </c>
      <c r="J394" s="1164">
        <v>1227038.67</v>
      </c>
      <c r="K394" s="1164">
        <v>134826.20000000001</v>
      </c>
      <c r="L394" s="1164">
        <v>335400.65999999997</v>
      </c>
      <c r="M394" s="1164">
        <v>1697265.53</v>
      </c>
      <c r="N394" s="1164">
        <v>1112186.8</v>
      </c>
      <c r="O394" s="1164">
        <v>1313.3</v>
      </c>
      <c r="P394" s="1164">
        <v>528.20000000000005</v>
      </c>
      <c r="R394" s="231"/>
      <c r="S394" s="231"/>
      <c r="T394" s="231"/>
      <c r="U394" s="231"/>
      <c r="V394" s="231"/>
      <c r="W394" s="231"/>
      <c r="X394" s="231"/>
      <c r="Y394" s="231"/>
      <c r="Z394" s="231"/>
      <c r="AA394" s="231"/>
      <c r="AB394" s="231"/>
      <c r="AC394" s="231"/>
    </row>
    <row r="395" spans="3:29" s="230" customFormat="1" ht="15" hidden="1" customHeight="1">
      <c r="C395" s="299"/>
      <c r="D395" s="173" t="str">
        <f>IF(Indice_index!$Z$1=1,"outubro","October")</f>
        <v>October</v>
      </c>
      <c r="E395" s="1271">
        <v>595</v>
      </c>
      <c r="F395" s="1271">
        <v>90</v>
      </c>
      <c r="G395" s="1271">
        <v>549</v>
      </c>
      <c r="H395" s="1271">
        <v>1234</v>
      </c>
      <c r="I395" s="1271">
        <v>1098</v>
      </c>
      <c r="J395" s="1164">
        <v>853401.65</v>
      </c>
      <c r="K395" s="1164">
        <v>109404.93</v>
      </c>
      <c r="L395" s="1164">
        <v>297062.19</v>
      </c>
      <c r="M395" s="1164">
        <v>1259868.77</v>
      </c>
      <c r="N395" s="1164">
        <v>1220062.75</v>
      </c>
      <c r="O395" s="1164">
        <v>1405.6</v>
      </c>
      <c r="P395" s="1164">
        <v>541.1</v>
      </c>
      <c r="R395" s="231"/>
      <c r="S395" s="231"/>
      <c r="T395" s="231"/>
      <c r="U395" s="231"/>
      <c r="V395" s="231"/>
      <c r="W395" s="231"/>
      <c r="X395" s="231"/>
      <c r="Y395" s="231"/>
      <c r="Z395" s="231"/>
      <c r="AA395" s="231"/>
      <c r="AB395" s="231"/>
      <c r="AC395" s="231"/>
    </row>
    <row r="396" spans="3:29" s="172" customFormat="1" ht="15" hidden="1" customHeight="1">
      <c r="C396" s="1274"/>
      <c r="D396" s="173" t="str">
        <f>IF(Indice_index!$Z$1=1,"novembro","November")</f>
        <v>November</v>
      </c>
      <c r="E396" s="1271">
        <v>721</v>
      </c>
      <c r="F396" s="1271">
        <v>134</v>
      </c>
      <c r="G396" s="1271">
        <v>920</v>
      </c>
      <c r="H396" s="1271">
        <v>1775</v>
      </c>
      <c r="I396" s="1271">
        <v>979</v>
      </c>
      <c r="J396" s="1164">
        <v>913278.22</v>
      </c>
      <c r="K396" s="1164">
        <v>154092.66</v>
      </c>
      <c r="L396" s="1164">
        <v>529161.11</v>
      </c>
      <c r="M396" s="1164">
        <v>1596531.99</v>
      </c>
      <c r="N396" s="1164">
        <v>1070531.94</v>
      </c>
      <c r="O396" s="1164">
        <v>1248.4000000000001</v>
      </c>
      <c r="P396" s="1164">
        <v>575.20000000000005</v>
      </c>
      <c r="R396" s="231"/>
      <c r="S396" s="231"/>
      <c r="T396" s="231"/>
      <c r="U396" s="231"/>
      <c r="V396" s="231"/>
      <c r="W396" s="231"/>
      <c r="X396" s="231"/>
      <c r="Y396" s="231"/>
      <c r="Z396" s="231"/>
      <c r="AA396" s="231"/>
      <c r="AB396" s="231"/>
      <c r="AC396" s="231"/>
    </row>
    <row r="397" spans="3:29" s="230" customFormat="1" ht="15" hidden="1" customHeight="1">
      <c r="C397" s="1204"/>
      <c r="D397" s="173" t="str">
        <f>IF(Indice_index!$Z$1=1,"dezembro","December")</f>
        <v>December</v>
      </c>
      <c r="E397" s="1271">
        <v>876</v>
      </c>
      <c r="F397" s="1271">
        <v>218</v>
      </c>
      <c r="G397" s="1271">
        <v>830</v>
      </c>
      <c r="H397" s="1271">
        <v>1924</v>
      </c>
      <c r="I397" s="1271">
        <v>1013</v>
      </c>
      <c r="J397" s="1164">
        <v>1300968.45</v>
      </c>
      <c r="K397" s="1164">
        <v>230659.94</v>
      </c>
      <c r="L397" s="1164">
        <v>471993.47</v>
      </c>
      <c r="M397" s="1164">
        <v>2003621.86</v>
      </c>
      <c r="N397" s="1164">
        <v>1096958.03</v>
      </c>
      <c r="O397" s="1164">
        <v>1400</v>
      </c>
      <c r="P397" s="1164">
        <v>568.70000000000005</v>
      </c>
      <c r="R397" s="231"/>
      <c r="S397" s="231"/>
      <c r="T397" s="231"/>
      <c r="U397" s="231"/>
      <c r="V397" s="231"/>
      <c r="W397" s="231"/>
      <c r="X397" s="231"/>
      <c r="Y397" s="231"/>
      <c r="Z397" s="231"/>
      <c r="AA397" s="231"/>
      <c r="AB397" s="231"/>
      <c r="AC397" s="231"/>
    </row>
    <row r="398" spans="3:29" s="230" customFormat="1" ht="15" customHeight="1">
      <c r="C398" s="299">
        <v>2019</v>
      </c>
      <c r="D398" s="172"/>
      <c r="E398" s="1271"/>
      <c r="F398" s="1271"/>
      <c r="G398" s="1271"/>
      <c r="H398" s="1271"/>
      <c r="I398" s="1271"/>
      <c r="J398" s="1164"/>
      <c r="K398" s="1164"/>
      <c r="L398" s="1164"/>
      <c r="M398" s="1164"/>
      <c r="N398" s="1164"/>
      <c r="O398" s="1164"/>
      <c r="P398" s="1164"/>
      <c r="R398" s="231"/>
      <c r="S398" s="231"/>
      <c r="T398" s="231"/>
      <c r="U398" s="231"/>
      <c r="V398" s="231"/>
      <c r="W398" s="231"/>
      <c r="X398" s="231"/>
      <c r="Y398" s="231"/>
      <c r="Z398" s="231"/>
      <c r="AA398" s="231"/>
      <c r="AB398" s="231"/>
      <c r="AC398" s="231"/>
    </row>
    <row r="399" spans="3:29" s="172" customFormat="1" ht="15" customHeight="1">
      <c r="C399" s="1274"/>
      <c r="D399" s="173" t="str">
        <f>IF(Indice_index!$Z$1=1,"janeiro","January")</f>
        <v>January</v>
      </c>
      <c r="E399" s="1275">
        <v>800</v>
      </c>
      <c r="F399" s="1275">
        <v>175</v>
      </c>
      <c r="G399" s="1275">
        <v>760</v>
      </c>
      <c r="H399" s="1275">
        <v>1735</v>
      </c>
      <c r="I399" s="1275">
        <v>1018</v>
      </c>
      <c r="J399" s="1276">
        <v>1089572.17</v>
      </c>
      <c r="K399" s="1276">
        <v>171869</v>
      </c>
      <c r="L399" s="1276">
        <v>395310.99</v>
      </c>
      <c r="M399" s="1276">
        <v>1656752.16</v>
      </c>
      <c r="N399" s="1276">
        <v>1079656.3899999999</v>
      </c>
      <c r="O399" s="1276">
        <v>1293.8</v>
      </c>
      <c r="P399" s="1276">
        <v>520.1</v>
      </c>
      <c r="R399" s="231"/>
      <c r="S399" s="231"/>
      <c r="T399" s="231"/>
      <c r="U399" s="231"/>
      <c r="V399" s="231"/>
      <c r="W399" s="231"/>
      <c r="X399" s="231"/>
      <c r="Y399" s="231"/>
      <c r="Z399" s="231"/>
      <c r="AA399" s="231"/>
      <c r="AB399" s="231"/>
      <c r="AC399" s="231"/>
    </row>
    <row r="400" spans="3:29" s="172" customFormat="1" ht="15" customHeight="1">
      <c r="C400" s="1274"/>
      <c r="D400" s="173" t="str">
        <f>IF(Indice_index!$Z$1=1,"fevereiro","February")</f>
        <v>February</v>
      </c>
      <c r="E400" s="1275">
        <v>681</v>
      </c>
      <c r="F400" s="1275">
        <v>166</v>
      </c>
      <c r="G400" s="1275">
        <v>899</v>
      </c>
      <c r="H400" s="1275">
        <v>1746</v>
      </c>
      <c r="I400" s="1275">
        <v>1239</v>
      </c>
      <c r="J400" s="1276">
        <v>811436.59</v>
      </c>
      <c r="K400" s="1276">
        <v>182202.01</v>
      </c>
      <c r="L400" s="1276">
        <v>501172.89</v>
      </c>
      <c r="M400" s="1276">
        <v>1494811.49</v>
      </c>
      <c r="N400" s="1276">
        <v>1399159.51</v>
      </c>
      <c r="O400" s="1276">
        <v>1173.0999999999999</v>
      </c>
      <c r="P400" s="1276">
        <v>557.5</v>
      </c>
      <c r="R400" s="231"/>
      <c r="S400" s="231"/>
      <c r="T400" s="231"/>
      <c r="U400" s="231"/>
      <c r="V400" s="231"/>
      <c r="W400" s="231"/>
      <c r="X400" s="231"/>
      <c r="Y400" s="231"/>
      <c r="Z400" s="231"/>
      <c r="AA400" s="231"/>
      <c r="AB400" s="231"/>
      <c r="AC400" s="231"/>
    </row>
    <row r="401" spans="3:41" s="230" customFormat="1" ht="15" customHeight="1">
      <c r="C401" s="299"/>
      <c r="D401" s="173" t="str">
        <f>IF(Indice_index!$Z$1=1,"março","March")</f>
        <v>March</v>
      </c>
      <c r="E401" s="1275">
        <v>515</v>
      </c>
      <c r="F401" s="1275">
        <v>256</v>
      </c>
      <c r="G401" s="1275">
        <v>907</v>
      </c>
      <c r="H401" s="1275">
        <v>1678</v>
      </c>
      <c r="I401" s="1275">
        <v>1514</v>
      </c>
      <c r="J401" s="1276">
        <v>716359.79</v>
      </c>
      <c r="K401" s="1276">
        <v>275750.90000000002</v>
      </c>
      <c r="L401" s="1276">
        <v>494600.39</v>
      </c>
      <c r="M401" s="1276">
        <v>1486711.08</v>
      </c>
      <c r="N401" s="1276">
        <v>1614644.05</v>
      </c>
      <c r="O401" s="1276">
        <v>1286.8</v>
      </c>
      <c r="P401" s="1276">
        <v>545.29999999999995</v>
      </c>
      <c r="R401" s="231"/>
      <c r="S401" s="231"/>
      <c r="T401" s="231"/>
      <c r="U401" s="231"/>
      <c r="V401" s="231"/>
      <c r="W401" s="231"/>
      <c r="X401" s="231"/>
      <c r="Y401" s="231"/>
      <c r="Z401" s="231"/>
      <c r="AA401" s="231"/>
      <c r="AB401" s="231"/>
      <c r="AC401" s="231"/>
    </row>
    <row r="402" spans="3:41" s="230" customFormat="1" ht="15" customHeight="1">
      <c r="C402" s="299"/>
      <c r="D402" s="173" t="str">
        <f>IF(Indice_index!$Z$1=1,"abril","April")</f>
        <v>April</v>
      </c>
      <c r="E402" s="1275">
        <v>1065</v>
      </c>
      <c r="F402" s="1275">
        <v>314</v>
      </c>
      <c r="G402" s="1275">
        <v>733</v>
      </c>
      <c r="H402" s="1275">
        <v>2112</v>
      </c>
      <c r="I402" s="1275">
        <v>1232</v>
      </c>
      <c r="J402" s="1276">
        <v>1303373.69</v>
      </c>
      <c r="K402" s="1276">
        <v>353465.21</v>
      </c>
      <c r="L402" s="1276">
        <v>409577.3</v>
      </c>
      <c r="M402" s="1276">
        <v>2066416.2</v>
      </c>
      <c r="N402" s="1276">
        <v>1325659.73</v>
      </c>
      <c r="O402" s="1276">
        <v>1201.5</v>
      </c>
      <c r="P402" s="1276">
        <v>558.79999999999995</v>
      </c>
      <c r="R402" s="231"/>
      <c r="S402" s="231"/>
      <c r="T402" s="231"/>
      <c r="U402" s="231"/>
      <c r="V402" s="231"/>
      <c r="W402" s="231"/>
      <c r="X402" s="231"/>
      <c r="Y402" s="231"/>
      <c r="Z402" s="231"/>
      <c r="AA402" s="231"/>
      <c r="AB402" s="231"/>
      <c r="AC402" s="231"/>
    </row>
    <row r="403" spans="3:41" s="230" customFormat="1" ht="15" customHeight="1">
      <c r="C403" s="299"/>
      <c r="D403" s="173" t="str">
        <f>IF(Indice_index!$Z$1=1,"maio","May")</f>
        <v>May</v>
      </c>
      <c r="E403" s="1275">
        <v>1128</v>
      </c>
      <c r="F403" s="1275">
        <v>244</v>
      </c>
      <c r="G403" s="1275">
        <v>882</v>
      </c>
      <c r="H403" s="1275">
        <v>2254</v>
      </c>
      <c r="I403" s="1275">
        <v>1085</v>
      </c>
      <c r="J403" s="1276">
        <v>1546773.28</v>
      </c>
      <c r="K403" s="1276">
        <v>248128.21</v>
      </c>
      <c r="L403" s="1276">
        <v>454247.7</v>
      </c>
      <c r="M403" s="1276">
        <v>2249149.19</v>
      </c>
      <c r="N403" s="1276">
        <v>1794901.49</v>
      </c>
      <c r="O403" s="1276">
        <v>1308.2</v>
      </c>
      <c r="P403" s="1276">
        <v>515</v>
      </c>
      <c r="R403" s="231"/>
      <c r="S403" s="231"/>
      <c r="T403" s="231"/>
      <c r="U403" s="231"/>
      <c r="V403" s="231"/>
      <c r="W403" s="231"/>
      <c r="X403" s="231"/>
      <c r="Y403" s="231"/>
      <c r="Z403" s="231"/>
      <c r="AA403" s="231"/>
      <c r="AB403" s="231"/>
      <c r="AC403" s="231"/>
    </row>
    <row r="404" spans="3:41" s="230" customFormat="1" ht="15" customHeight="1">
      <c r="C404" s="299"/>
      <c r="D404" s="173" t="str">
        <f>IF(Indice_index!$Z$1=1,"junho","June")</f>
        <v>June</v>
      </c>
      <c r="E404" s="1275">
        <v>945</v>
      </c>
      <c r="F404" s="1275">
        <v>258</v>
      </c>
      <c r="G404" s="1275">
        <v>982</v>
      </c>
      <c r="H404" s="1275">
        <v>2185</v>
      </c>
      <c r="I404" s="1275">
        <v>1255</v>
      </c>
      <c r="J404" s="1276">
        <v>1136649.44</v>
      </c>
      <c r="K404" s="1276">
        <v>315491.37</v>
      </c>
      <c r="L404" s="1276">
        <v>500211.27</v>
      </c>
      <c r="M404" s="1276">
        <v>1952352.08</v>
      </c>
      <c r="N404" s="1276">
        <v>1423669.42</v>
      </c>
      <c r="O404" s="1276">
        <v>1207.0999999999999</v>
      </c>
      <c r="P404" s="1276">
        <v>509.4</v>
      </c>
      <c r="R404" s="231"/>
      <c r="S404" s="231"/>
      <c r="T404" s="231"/>
      <c r="U404" s="231"/>
      <c r="V404" s="231"/>
      <c r="W404" s="231"/>
      <c r="X404" s="231"/>
      <c r="Y404" s="231"/>
      <c r="Z404" s="231"/>
      <c r="AA404" s="231"/>
      <c r="AB404" s="231"/>
      <c r="AC404" s="231"/>
    </row>
    <row r="405" spans="3:41" s="230" customFormat="1" ht="15" customHeight="1">
      <c r="C405" s="299"/>
      <c r="D405" s="173" t="str">
        <f>IF(Indice_index!$Z$1=1,"julho","July")</f>
        <v>July</v>
      </c>
      <c r="E405" s="1275">
        <v>1013</v>
      </c>
      <c r="F405" s="1275">
        <v>164</v>
      </c>
      <c r="G405" s="1275">
        <v>747</v>
      </c>
      <c r="H405" s="1275">
        <v>1924</v>
      </c>
      <c r="I405" s="1275">
        <v>920</v>
      </c>
      <c r="J405" s="1276">
        <v>1350515.13</v>
      </c>
      <c r="K405" s="1276">
        <v>191515.13</v>
      </c>
      <c r="L405" s="1276">
        <v>414170.55</v>
      </c>
      <c r="M405" s="1276">
        <v>1956200.8099999998</v>
      </c>
      <c r="N405" s="1276">
        <v>966080.69</v>
      </c>
      <c r="O405" s="1276">
        <v>1310</v>
      </c>
      <c r="P405" s="1276">
        <v>554.4</v>
      </c>
      <c r="R405" s="231"/>
      <c r="S405" s="231"/>
      <c r="T405" s="231"/>
      <c r="U405" s="231"/>
      <c r="V405" s="231"/>
      <c r="W405" s="231"/>
      <c r="X405" s="231"/>
      <c r="Y405" s="231"/>
      <c r="Z405" s="231"/>
      <c r="AA405" s="231"/>
      <c r="AB405" s="231"/>
      <c r="AC405" s="231"/>
    </row>
    <row r="406" spans="3:41" s="230" customFormat="1" ht="15" customHeight="1">
      <c r="C406" s="299"/>
      <c r="D406" s="173" t="str">
        <f>IF(Indice_index!$Z$1=1,"agosto","August")</f>
        <v>August</v>
      </c>
      <c r="E406" s="1275">
        <v>973</v>
      </c>
      <c r="F406" s="1275">
        <v>157</v>
      </c>
      <c r="G406" s="1275">
        <v>853</v>
      </c>
      <c r="H406" s="1275">
        <v>1983</v>
      </c>
      <c r="I406" s="1275">
        <v>1061</v>
      </c>
      <c r="J406" s="1276">
        <v>1053354.69</v>
      </c>
      <c r="K406" s="1276">
        <v>161216.37</v>
      </c>
      <c r="L406" s="1276">
        <v>418478.12</v>
      </c>
      <c r="M406" s="1276">
        <v>1633049.1800000002</v>
      </c>
      <c r="N406" s="1276">
        <v>1130360.99</v>
      </c>
      <c r="O406" s="1276">
        <v>1074.8</v>
      </c>
      <c r="P406" s="1276">
        <v>490.6</v>
      </c>
    </row>
    <row r="407" spans="3:41" s="230" customFormat="1" ht="15" customHeight="1">
      <c r="C407" s="299"/>
      <c r="D407" s="173" t="str">
        <f>IF(Indice_index!$Z$1=1,"setembro","September")</f>
        <v>September</v>
      </c>
      <c r="E407" s="1275">
        <v>1018</v>
      </c>
      <c r="F407" s="1275">
        <v>188</v>
      </c>
      <c r="G407" s="1275">
        <v>921</v>
      </c>
      <c r="H407" s="1275">
        <v>2127</v>
      </c>
      <c r="I407" s="1275">
        <v>957</v>
      </c>
      <c r="J407" s="1276">
        <v>1180241.8500000001</v>
      </c>
      <c r="K407" s="1276">
        <v>212205.83</v>
      </c>
      <c r="L407" s="1276">
        <v>399925.98</v>
      </c>
      <c r="M407" s="1276">
        <v>1792373.66</v>
      </c>
      <c r="N407" s="1276">
        <v>1085699.8899999999</v>
      </c>
      <c r="O407" s="1276">
        <v>1154.5999999999999</v>
      </c>
      <c r="P407" s="1276">
        <v>434.2</v>
      </c>
    </row>
    <row r="408" spans="3:41" s="230" customFormat="1" ht="15" customHeight="1">
      <c r="C408" s="299"/>
      <c r="D408" s="173" t="str">
        <f>IF(Indice_index!$Z$1=1,"outubro","October")</f>
        <v>October</v>
      </c>
      <c r="E408" s="1277">
        <v>830</v>
      </c>
      <c r="F408" s="1277">
        <v>87</v>
      </c>
      <c r="G408" s="1277">
        <v>735</v>
      </c>
      <c r="H408" s="1277">
        <v>1652</v>
      </c>
      <c r="I408" s="1277">
        <v>1129</v>
      </c>
      <c r="J408" s="1278">
        <v>937535.28</v>
      </c>
      <c r="K408" s="1278">
        <v>96065.17</v>
      </c>
      <c r="L408" s="1278">
        <v>327182.71999999997</v>
      </c>
      <c r="M408" s="1278">
        <v>1360783.17</v>
      </c>
      <c r="N408" s="1278">
        <v>1273577.6299999999</v>
      </c>
      <c r="O408" s="1278">
        <v>1127.2</v>
      </c>
      <c r="P408" s="1278">
        <v>445.1</v>
      </c>
    </row>
    <row r="409" spans="3:41" s="172" customFormat="1" ht="15" customHeight="1">
      <c r="C409" s="1274"/>
      <c r="D409" s="173" t="str">
        <f>IF(Indice_index!$Z$1=1,"novembro","November")</f>
        <v>November</v>
      </c>
      <c r="E409" s="1279">
        <v>2057</v>
      </c>
      <c r="F409" s="1279">
        <v>176</v>
      </c>
      <c r="G409" s="1279">
        <v>1034</v>
      </c>
      <c r="H409" s="1279">
        <v>3267</v>
      </c>
      <c r="I409" s="1279">
        <v>1052</v>
      </c>
      <c r="J409" s="1280">
        <v>1512838.7399999998</v>
      </c>
      <c r="K409" s="1280">
        <v>194177.99999999997</v>
      </c>
      <c r="L409" s="1280">
        <v>482554.58</v>
      </c>
      <c r="M409" s="1280">
        <v>2189571.3199999998</v>
      </c>
      <c r="N409" s="1280">
        <v>1179613.68</v>
      </c>
      <c r="O409" s="1280">
        <v>764.4</v>
      </c>
      <c r="P409" s="1280">
        <v>466.7</v>
      </c>
      <c r="R409" s="230"/>
      <c r="S409" s="230"/>
      <c r="T409" s="230"/>
      <c r="U409" s="230"/>
      <c r="V409" s="230"/>
      <c r="W409" s="230"/>
      <c r="X409" s="230"/>
      <c r="Y409" s="230"/>
      <c r="Z409" s="230"/>
      <c r="AA409" s="230"/>
      <c r="AB409" s="230"/>
      <c r="AC409" s="230"/>
    </row>
    <row r="410" spans="3:41" s="230" customFormat="1" ht="15" customHeight="1">
      <c r="C410" s="1204"/>
      <c r="D410" s="173" t="str">
        <f>IF(Indice_index!$Z$1=1,"dezembro","December")</f>
        <v>December</v>
      </c>
      <c r="E410" s="1271">
        <v>2065</v>
      </c>
      <c r="F410" s="1271">
        <v>165</v>
      </c>
      <c r="G410" s="1271">
        <v>643</v>
      </c>
      <c r="H410" s="1271">
        <v>2873</v>
      </c>
      <c r="I410" s="1271">
        <v>1095</v>
      </c>
      <c r="J410" s="1164">
        <v>1764593.98</v>
      </c>
      <c r="K410" s="1164">
        <v>160955.39000000001</v>
      </c>
      <c r="L410" s="1164">
        <v>305412.8</v>
      </c>
      <c r="M410" s="1164">
        <v>2230962.17</v>
      </c>
      <c r="N410" s="1164">
        <v>1240568.53</v>
      </c>
      <c r="O410" s="1164">
        <v>863.5</v>
      </c>
      <c r="P410" s="1164">
        <v>475</v>
      </c>
      <c r="X410" s="50"/>
      <c r="Y410" s="50"/>
      <c r="Z410" s="50"/>
      <c r="AA410" s="171"/>
    </row>
    <row r="411" spans="3:41" s="230" customFormat="1" ht="15" customHeight="1">
      <c r="C411" s="299">
        <v>2020</v>
      </c>
      <c r="D411" s="172"/>
      <c r="E411" s="1271"/>
      <c r="F411" s="1271"/>
      <c r="G411" s="1271"/>
      <c r="H411" s="1271"/>
      <c r="I411" s="1271"/>
      <c r="J411" s="1164"/>
      <c r="K411" s="1164"/>
      <c r="L411" s="1164"/>
      <c r="M411" s="1164"/>
      <c r="N411" s="1164"/>
      <c r="O411" s="1164"/>
      <c r="P411" s="1164"/>
      <c r="R411" s="231"/>
      <c r="S411" s="231"/>
      <c r="T411" s="231"/>
      <c r="U411" s="231"/>
      <c r="V411" s="231"/>
      <c r="W411" s="231"/>
      <c r="X411" s="231"/>
      <c r="Y411" s="231"/>
      <c r="Z411" s="231"/>
      <c r="AA411" s="231"/>
      <c r="AB411" s="231"/>
      <c r="AC411" s="231"/>
    </row>
    <row r="412" spans="3:41" s="172" customFormat="1" ht="15" customHeight="1">
      <c r="C412" s="1274"/>
      <c r="D412" s="173" t="str">
        <f>IF(Indice_index!$Z$1=1,"janeiro","January")</f>
        <v>January</v>
      </c>
      <c r="E412" s="1275">
        <v>1301</v>
      </c>
      <c r="F412" s="1275">
        <v>101</v>
      </c>
      <c r="G412" s="1275">
        <v>1606</v>
      </c>
      <c r="H412" s="1275">
        <v>3008</v>
      </c>
      <c r="I412" s="1275">
        <v>1254</v>
      </c>
      <c r="J412" s="1276">
        <v>1406215.8599999999</v>
      </c>
      <c r="K412" s="1276">
        <v>120721.40999999999</v>
      </c>
      <c r="L412" s="1276">
        <v>1121634.8500000001</v>
      </c>
      <c r="M412" s="1276">
        <v>2648572.12</v>
      </c>
      <c r="N412" s="1276">
        <v>1181130.18</v>
      </c>
      <c r="O412" s="1276">
        <v>1089.0999999999999</v>
      </c>
      <c r="P412" s="1276">
        <v>698.4</v>
      </c>
      <c r="R412" s="231"/>
      <c r="S412" s="231"/>
      <c r="T412" s="231"/>
      <c r="U412" s="231"/>
      <c r="V412" s="231"/>
      <c r="W412" s="231"/>
      <c r="X412" s="231"/>
      <c r="Y412" s="231"/>
      <c r="Z412" s="231"/>
      <c r="AA412" s="231"/>
      <c r="AB412" s="231"/>
      <c r="AC412" s="231"/>
      <c r="AD412" s="426"/>
      <c r="AE412" s="426"/>
      <c r="AF412" s="426"/>
      <c r="AG412" s="426"/>
      <c r="AH412" s="426"/>
      <c r="AI412" s="426"/>
      <c r="AJ412" s="426"/>
      <c r="AK412" s="426"/>
      <c r="AL412" s="426"/>
      <c r="AM412" s="426"/>
      <c r="AN412" s="426"/>
      <c r="AO412" s="426"/>
    </row>
    <row r="413" spans="3:41" s="172" customFormat="1" ht="15" customHeight="1">
      <c r="C413" s="1274"/>
      <c r="D413" s="173" t="str">
        <f>IF(Indice_index!$Z$1=1,"fevereiro","February")</f>
        <v>February</v>
      </c>
      <c r="E413" s="1275">
        <v>1156</v>
      </c>
      <c r="F413" s="1275">
        <v>86</v>
      </c>
      <c r="G413" s="1275">
        <v>784</v>
      </c>
      <c r="H413" s="1275">
        <v>2026</v>
      </c>
      <c r="I413" s="1275">
        <v>1433</v>
      </c>
      <c r="J413" s="1276">
        <v>1256302.7600000002</v>
      </c>
      <c r="K413" s="1276">
        <v>93955.06</v>
      </c>
      <c r="L413" s="1276">
        <v>340075.64</v>
      </c>
      <c r="M413" s="1276">
        <v>1690333.4600000004</v>
      </c>
      <c r="N413" s="1276">
        <v>1470168.61</v>
      </c>
      <c r="O413" s="1276">
        <v>1087.2</v>
      </c>
      <c r="P413" s="1276">
        <v>433.8</v>
      </c>
      <c r="R413" s="231"/>
      <c r="S413" s="231"/>
      <c r="T413" s="231"/>
      <c r="U413" s="231"/>
      <c r="V413" s="231"/>
      <c r="W413" s="231"/>
      <c r="X413" s="231"/>
      <c r="Y413" s="231"/>
      <c r="Z413" s="231"/>
      <c r="AA413" s="231"/>
      <c r="AB413" s="231"/>
      <c r="AC413" s="231"/>
      <c r="AD413" s="426"/>
      <c r="AE413" s="426"/>
      <c r="AF413" s="426"/>
      <c r="AG413" s="426"/>
      <c r="AH413" s="426"/>
      <c r="AI413" s="426"/>
      <c r="AJ413" s="426"/>
      <c r="AK413" s="426"/>
      <c r="AL413" s="426"/>
      <c r="AM413" s="426"/>
      <c r="AN413" s="426"/>
      <c r="AO413" s="426"/>
    </row>
    <row r="414" spans="3:41" s="230" customFormat="1" ht="15" customHeight="1">
      <c r="C414" s="299"/>
      <c r="D414" s="173" t="str">
        <f>IF(Indice_index!$Z$1=1,"março","March")</f>
        <v>March</v>
      </c>
      <c r="E414" s="1275">
        <v>1124</v>
      </c>
      <c r="F414" s="1275">
        <v>296</v>
      </c>
      <c r="G414" s="1275">
        <v>885</v>
      </c>
      <c r="H414" s="1275">
        <v>2305</v>
      </c>
      <c r="I414" s="1275">
        <v>1405</v>
      </c>
      <c r="J414" s="1276">
        <v>1455949.83</v>
      </c>
      <c r="K414" s="1276">
        <v>284777.40000000002</v>
      </c>
      <c r="L414" s="1276">
        <v>458761.12</v>
      </c>
      <c r="M414" s="1276">
        <v>2199488.35</v>
      </c>
      <c r="N414" s="1276">
        <v>1464110.3</v>
      </c>
      <c r="O414" s="1276">
        <v>1225.9000000000001</v>
      </c>
      <c r="P414" s="1276">
        <v>518.4</v>
      </c>
      <c r="R414" s="231"/>
      <c r="S414" s="231"/>
      <c r="T414" s="231"/>
      <c r="U414" s="231"/>
      <c r="V414" s="231"/>
      <c r="W414" s="231"/>
      <c r="X414" s="231"/>
      <c r="Y414" s="231"/>
      <c r="Z414" s="231"/>
      <c r="AA414" s="231"/>
      <c r="AB414" s="231"/>
      <c r="AC414" s="231"/>
      <c r="AD414" s="426"/>
      <c r="AE414" s="426"/>
      <c r="AF414" s="426"/>
      <c r="AG414" s="426"/>
      <c r="AH414" s="426"/>
      <c r="AI414" s="426"/>
      <c r="AJ414" s="426"/>
      <c r="AK414" s="426"/>
      <c r="AL414" s="426"/>
      <c r="AM414" s="426"/>
      <c r="AN414" s="426"/>
      <c r="AO414" s="426"/>
    </row>
    <row r="415" spans="3:41" s="230" customFormat="1" ht="15" customHeight="1">
      <c r="C415" s="299"/>
      <c r="D415" s="173" t="str">
        <f>IF(Indice_index!$Z$1=1,"abril","April")</f>
        <v>April</v>
      </c>
      <c r="E415" s="1275">
        <v>1369</v>
      </c>
      <c r="F415" s="1275">
        <v>110</v>
      </c>
      <c r="G415" s="1275">
        <v>958</v>
      </c>
      <c r="H415" s="1275">
        <v>2437</v>
      </c>
      <c r="I415" s="1275">
        <v>1330</v>
      </c>
      <c r="J415" s="1276">
        <v>1733658.78</v>
      </c>
      <c r="K415" s="1276">
        <v>136607.13</v>
      </c>
      <c r="L415" s="1276">
        <v>469100.58</v>
      </c>
      <c r="M415" s="1276">
        <v>2339366.4900000002</v>
      </c>
      <c r="N415" s="1276">
        <v>1389223.38</v>
      </c>
      <c r="O415" s="1276">
        <v>1264.5</v>
      </c>
      <c r="P415" s="1276">
        <v>489.7</v>
      </c>
      <c r="R415" s="231"/>
      <c r="S415" s="231"/>
      <c r="T415" s="231"/>
      <c r="U415" s="231"/>
      <c r="V415" s="231"/>
      <c r="W415" s="231"/>
      <c r="X415" s="231"/>
      <c r="Y415" s="231"/>
      <c r="Z415" s="231"/>
      <c r="AA415" s="231"/>
      <c r="AB415" s="231"/>
      <c r="AC415" s="231"/>
      <c r="AD415" s="426"/>
      <c r="AE415" s="426"/>
      <c r="AF415" s="426"/>
      <c r="AG415" s="426"/>
      <c r="AH415" s="426"/>
      <c r="AI415" s="426"/>
      <c r="AJ415" s="426"/>
      <c r="AK415" s="426"/>
      <c r="AL415" s="426"/>
      <c r="AM415" s="426"/>
      <c r="AN415" s="426"/>
      <c r="AO415" s="426"/>
    </row>
    <row r="416" spans="3:41" s="230" customFormat="1" ht="15" customHeight="1">
      <c r="C416" s="299"/>
      <c r="D416" s="173" t="str">
        <f>IF(Indice_index!$Z$1=1,"maio","May")</f>
        <v>May</v>
      </c>
      <c r="E416" s="1275">
        <v>1531</v>
      </c>
      <c r="F416" s="1275">
        <v>78</v>
      </c>
      <c r="G416" s="1275">
        <v>981</v>
      </c>
      <c r="H416" s="1275">
        <v>2590</v>
      </c>
      <c r="I416" s="1275">
        <v>1371</v>
      </c>
      <c r="J416" s="1276">
        <v>1984223.61</v>
      </c>
      <c r="K416" s="1276">
        <v>92547.049999999988</v>
      </c>
      <c r="L416" s="1276">
        <v>505983.3</v>
      </c>
      <c r="M416" s="1276">
        <v>2582753.96</v>
      </c>
      <c r="N416" s="1276">
        <v>1531210.28</v>
      </c>
      <c r="O416" s="1276">
        <v>1290.7</v>
      </c>
      <c r="P416" s="1276">
        <v>515.79999999999995</v>
      </c>
      <c r="R416" s="231"/>
      <c r="S416" s="231"/>
      <c r="T416" s="231"/>
      <c r="U416" s="231"/>
      <c r="V416" s="231"/>
      <c r="W416" s="231"/>
      <c r="X416" s="231"/>
      <c r="Y416" s="231"/>
      <c r="Z416" s="231"/>
      <c r="AA416" s="231"/>
      <c r="AB416" s="231"/>
      <c r="AC416" s="231"/>
      <c r="AD416" s="426"/>
      <c r="AE416" s="426"/>
      <c r="AF416" s="426"/>
      <c r="AG416" s="426"/>
      <c r="AH416" s="426"/>
      <c r="AI416" s="426"/>
      <c r="AJ416" s="426"/>
      <c r="AK416" s="426"/>
      <c r="AL416" s="426"/>
      <c r="AM416" s="426"/>
      <c r="AN416" s="426"/>
      <c r="AO416" s="426"/>
    </row>
    <row r="417" spans="3:41" s="230" customFormat="1" ht="15" customHeight="1">
      <c r="C417" s="299"/>
      <c r="D417" s="173" t="str">
        <f>IF(Indice_index!$Z$1=1,"junho","June")</f>
        <v>June</v>
      </c>
      <c r="E417" s="1275">
        <v>1499</v>
      </c>
      <c r="F417" s="1275">
        <v>89</v>
      </c>
      <c r="G417" s="1275">
        <v>865</v>
      </c>
      <c r="H417" s="1275">
        <v>2453</v>
      </c>
      <c r="I417" s="1275">
        <v>1349</v>
      </c>
      <c r="J417" s="1276">
        <v>1855493.75</v>
      </c>
      <c r="K417" s="1276">
        <v>106652.79</v>
      </c>
      <c r="L417" s="1276">
        <v>464286.68</v>
      </c>
      <c r="M417" s="1276">
        <v>2426433.2200000002</v>
      </c>
      <c r="N417" s="1276">
        <v>1540020.1</v>
      </c>
      <c r="O417" s="1276">
        <v>1235.5999999999999</v>
      </c>
      <c r="P417" s="1276">
        <v>536.70000000000005</v>
      </c>
      <c r="R417" s="231"/>
      <c r="S417" s="231"/>
      <c r="T417" s="231"/>
      <c r="U417" s="231"/>
      <c r="V417" s="231"/>
      <c r="W417" s="231"/>
      <c r="X417" s="231"/>
      <c r="Y417" s="231"/>
      <c r="Z417" s="231"/>
      <c r="AA417" s="231"/>
      <c r="AB417" s="231"/>
      <c r="AC417" s="231"/>
    </row>
    <row r="418" spans="3:41" s="230" customFormat="1" ht="15" customHeight="1">
      <c r="C418" s="299"/>
      <c r="D418" s="173" t="str">
        <f>IF(Indice_index!$Z$1=1,"julho","July")</f>
        <v>July</v>
      </c>
      <c r="E418" s="1275">
        <v>1452</v>
      </c>
      <c r="F418" s="1275">
        <v>58</v>
      </c>
      <c r="G418" s="1275">
        <v>929</v>
      </c>
      <c r="H418" s="1275">
        <v>2439</v>
      </c>
      <c r="I418" s="1275">
        <v>1105</v>
      </c>
      <c r="J418" s="1276">
        <v>1944599.44</v>
      </c>
      <c r="K418" s="1276">
        <v>67974.77</v>
      </c>
      <c r="L418" s="1276">
        <v>541800.02</v>
      </c>
      <c r="M418" s="1276">
        <v>2554374.23</v>
      </c>
      <c r="N418" s="1276">
        <v>1241641.8799999999</v>
      </c>
      <c r="O418" s="1276">
        <v>1332.8</v>
      </c>
      <c r="P418" s="1276">
        <v>583.20000000000005</v>
      </c>
      <c r="R418" s="231"/>
      <c r="S418" s="231"/>
      <c r="T418" s="231"/>
      <c r="U418" s="231"/>
      <c r="V418" s="231"/>
      <c r="W418" s="231"/>
      <c r="X418" s="231"/>
      <c r="Y418" s="231"/>
      <c r="Z418" s="231"/>
      <c r="AA418" s="231"/>
      <c r="AB418" s="231"/>
      <c r="AC418" s="231"/>
    </row>
    <row r="419" spans="3:41" s="230" customFormat="1" ht="15" customHeight="1">
      <c r="C419" s="299"/>
      <c r="D419" s="173" t="str">
        <f>IF(Indice_index!$Z$1=1,"agosto","August")</f>
        <v>August</v>
      </c>
      <c r="E419" s="1275">
        <v>1470</v>
      </c>
      <c r="F419" s="1275">
        <v>36</v>
      </c>
      <c r="G419" s="1275">
        <v>1000</v>
      </c>
      <c r="H419" s="1275">
        <v>2506</v>
      </c>
      <c r="I419" s="1275">
        <v>1168</v>
      </c>
      <c r="J419" s="1276">
        <v>1875739.22</v>
      </c>
      <c r="K419" s="1276">
        <v>36978.129999999997</v>
      </c>
      <c r="L419" s="1276">
        <v>554835.69000000006</v>
      </c>
      <c r="M419" s="1276">
        <v>2467553.04</v>
      </c>
      <c r="N419" s="1276">
        <v>1282507.42</v>
      </c>
      <c r="O419" s="1276">
        <v>1270.0999999999999</v>
      </c>
      <c r="P419" s="1276">
        <v>554.79999999999995</v>
      </c>
    </row>
    <row r="420" spans="3:41" s="230" customFormat="1" ht="15" customHeight="1">
      <c r="C420" s="299"/>
      <c r="D420" s="173" t="str">
        <f>IF(Indice_index!$Z$1=1,"setembro","September")</f>
        <v>September</v>
      </c>
      <c r="E420" s="1275">
        <v>1318</v>
      </c>
      <c r="F420" s="1275">
        <v>29</v>
      </c>
      <c r="G420" s="1275">
        <v>773</v>
      </c>
      <c r="H420" s="1275">
        <v>2120</v>
      </c>
      <c r="I420" s="1275">
        <v>1265</v>
      </c>
      <c r="J420" s="1276">
        <v>2047092.5899999999</v>
      </c>
      <c r="K420" s="1276">
        <v>39101.64</v>
      </c>
      <c r="L420" s="1276">
        <v>431175.01</v>
      </c>
      <c r="M420" s="1276">
        <v>2517369.2399999998</v>
      </c>
      <c r="N420" s="1276">
        <v>1390071.15</v>
      </c>
      <c r="O420" s="1276">
        <v>1548.8</v>
      </c>
      <c r="P420" s="1276">
        <v>557.79999999999995</v>
      </c>
    </row>
    <row r="421" spans="3:41" s="230" customFormat="1" ht="15" customHeight="1">
      <c r="C421" s="299"/>
      <c r="D421" s="173" t="str">
        <f>IF(Indice_index!$Z$1=1,"outubro","October")</f>
        <v>October</v>
      </c>
      <c r="E421" s="1281">
        <v>1206</v>
      </c>
      <c r="F421" s="1281">
        <v>27</v>
      </c>
      <c r="G421" s="1281">
        <v>773</v>
      </c>
      <c r="H421" s="1281">
        <v>2006</v>
      </c>
      <c r="I421" s="1281">
        <v>1151</v>
      </c>
      <c r="J421" s="1282">
        <v>1774555.76</v>
      </c>
      <c r="K421" s="1282">
        <v>41696.28</v>
      </c>
      <c r="L421" s="1282">
        <v>424627.48</v>
      </c>
      <c r="M421" s="1282">
        <v>2240879.52</v>
      </c>
      <c r="N421" s="1282">
        <v>1317894.17</v>
      </c>
      <c r="O421" s="1282">
        <v>1473</v>
      </c>
      <c r="P421" s="1282">
        <v>549.29999999999995</v>
      </c>
    </row>
    <row r="422" spans="3:41" s="172" customFormat="1" ht="15" customHeight="1">
      <c r="C422" s="1274"/>
      <c r="D422" s="173" t="str">
        <f>IF(Indice_index!$Z$1=1,"novembro","November")</f>
        <v>November</v>
      </c>
      <c r="E422" s="1283">
        <v>1111</v>
      </c>
      <c r="F422" s="1283">
        <v>86</v>
      </c>
      <c r="G422" s="1283">
        <v>871</v>
      </c>
      <c r="H422" s="1283">
        <v>2068</v>
      </c>
      <c r="I422" s="1283">
        <v>1162</v>
      </c>
      <c r="J422" s="1284">
        <v>1770166.95</v>
      </c>
      <c r="K422" s="1284">
        <v>101722.77</v>
      </c>
      <c r="L422" s="1284">
        <v>447410.54</v>
      </c>
      <c r="M422" s="1284">
        <v>2319300.2599999998</v>
      </c>
      <c r="N422" s="1284">
        <v>1306216.53</v>
      </c>
      <c r="O422" s="1284">
        <v>1563.8</v>
      </c>
      <c r="P422" s="1284">
        <v>513.70000000000005</v>
      </c>
      <c r="R422" s="230"/>
      <c r="S422" s="230"/>
      <c r="T422" s="230"/>
      <c r="U422" s="230"/>
      <c r="V422" s="230"/>
      <c r="W422" s="230"/>
      <c r="X422" s="230"/>
      <c r="Y422" s="230"/>
      <c r="Z422" s="230"/>
      <c r="AA422" s="230"/>
      <c r="AB422" s="230"/>
      <c r="AC422" s="230"/>
    </row>
    <row r="423" spans="3:41" s="230" customFormat="1" ht="15" customHeight="1">
      <c r="C423" s="1204"/>
      <c r="D423" s="173" t="str">
        <f>IF(Indice_index!$Z$1=1,"dezembro","December")</f>
        <v>December</v>
      </c>
      <c r="E423" s="1285">
        <v>1057</v>
      </c>
      <c r="F423" s="1285">
        <v>106</v>
      </c>
      <c r="G423" s="1285">
        <v>889</v>
      </c>
      <c r="H423" s="1285">
        <v>2052</v>
      </c>
      <c r="I423" s="1285">
        <v>1288</v>
      </c>
      <c r="J423" s="1286">
        <v>1823991.91</v>
      </c>
      <c r="K423" s="1286">
        <v>121644.84</v>
      </c>
      <c r="L423" s="1286">
        <v>467474.39</v>
      </c>
      <c r="M423" s="1286">
        <v>2413111.14</v>
      </c>
      <c r="N423" s="1286">
        <v>1486433.23</v>
      </c>
      <c r="O423" s="1286">
        <v>1672.9</v>
      </c>
      <c r="P423" s="1286">
        <v>525.79999999999995</v>
      </c>
      <c r="X423" s="50"/>
      <c r="Y423" s="50"/>
      <c r="Z423" s="50"/>
      <c r="AA423" s="171"/>
    </row>
    <row r="424" spans="3:41" s="230" customFormat="1" ht="15" customHeight="1">
      <c r="C424" s="1287" t="s">
        <v>68</v>
      </c>
      <c r="D424" s="172"/>
      <c r="E424" s="1271"/>
      <c r="F424" s="1271"/>
      <c r="G424" s="1271"/>
      <c r="H424" s="1271"/>
      <c r="I424" s="1271"/>
      <c r="J424" s="1164"/>
      <c r="K424" s="1164"/>
      <c r="L424" s="1164"/>
      <c r="M424" s="1164"/>
      <c r="N424" s="1164"/>
      <c r="O424" s="1164"/>
      <c r="P424" s="1164"/>
      <c r="R424" s="231"/>
      <c r="S424" s="231"/>
      <c r="T424" s="231"/>
      <c r="U424" s="231"/>
      <c r="V424" s="231"/>
      <c r="W424" s="231"/>
      <c r="X424" s="231"/>
      <c r="Y424" s="231"/>
      <c r="Z424" s="231"/>
      <c r="AA424" s="231"/>
      <c r="AB424" s="231"/>
      <c r="AC424" s="231"/>
    </row>
    <row r="425" spans="3:41" s="172" customFormat="1" ht="15" customHeight="1">
      <c r="C425" s="1274"/>
      <c r="D425" s="173" t="str">
        <f>IF(Indice_index!$Z$1=1,"janeiro","January")</f>
        <v>January</v>
      </c>
      <c r="E425" s="1275">
        <v>1024</v>
      </c>
      <c r="F425" s="1275">
        <v>87</v>
      </c>
      <c r="G425" s="1275">
        <v>678</v>
      </c>
      <c r="H425" s="1275">
        <v>1789</v>
      </c>
      <c r="I425" s="1275">
        <v>1319</v>
      </c>
      <c r="J425" s="1276">
        <v>1639431.98</v>
      </c>
      <c r="K425" s="1276">
        <v>104309.67</v>
      </c>
      <c r="L425" s="1276">
        <v>372691.26</v>
      </c>
      <c r="M425" s="1276">
        <v>2116432.91</v>
      </c>
      <c r="N425" s="1276">
        <v>1451929.72</v>
      </c>
      <c r="O425" s="1276">
        <v>1569.5</v>
      </c>
      <c r="P425" s="1276">
        <v>549.70000000000005</v>
      </c>
      <c r="R425" s="231"/>
      <c r="S425" s="231"/>
      <c r="T425" s="231"/>
      <c r="U425" s="231"/>
      <c r="V425" s="231"/>
      <c r="W425" s="231"/>
      <c r="X425" s="231"/>
      <c r="Y425" s="231"/>
      <c r="Z425" s="231"/>
      <c r="AA425" s="231"/>
      <c r="AB425" s="231"/>
      <c r="AC425" s="231"/>
      <c r="AD425" s="426"/>
      <c r="AE425" s="426"/>
      <c r="AF425" s="426"/>
      <c r="AG425" s="426"/>
      <c r="AH425" s="426"/>
      <c r="AI425" s="426"/>
      <c r="AJ425" s="426"/>
      <c r="AK425" s="426"/>
      <c r="AL425" s="426"/>
      <c r="AM425" s="426"/>
      <c r="AN425" s="426"/>
      <c r="AO425" s="426"/>
    </row>
    <row r="426" spans="3:41" s="172" customFormat="1" ht="15" customHeight="1">
      <c r="C426" s="1274"/>
      <c r="D426" s="173" t="str">
        <f>IF(Indice_index!$Z$1=1,"fevereiro","February")</f>
        <v>February</v>
      </c>
      <c r="E426" s="1275">
        <v>883</v>
      </c>
      <c r="F426" s="1275">
        <v>101</v>
      </c>
      <c r="G426" s="1275">
        <v>836</v>
      </c>
      <c r="H426" s="1275">
        <v>1820</v>
      </c>
      <c r="I426" s="1275">
        <v>1678</v>
      </c>
      <c r="J426" s="1276">
        <v>1306138.5900000001</v>
      </c>
      <c r="K426" s="1276">
        <v>100339.62</v>
      </c>
      <c r="L426" s="1276">
        <v>458772.69</v>
      </c>
      <c r="M426" s="1276">
        <v>1865250.9</v>
      </c>
      <c r="N426" s="1276">
        <v>1928449.74</v>
      </c>
      <c r="O426" s="1276">
        <v>1429.3</v>
      </c>
      <c r="P426" s="1276">
        <v>548.79999999999995</v>
      </c>
      <c r="R426" s="231"/>
      <c r="S426" s="231"/>
      <c r="T426" s="231"/>
      <c r="U426" s="231"/>
      <c r="V426" s="231"/>
      <c r="W426" s="231"/>
      <c r="X426" s="231"/>
      <c r="Y426" s="231"/>
      <c r="Z426" s="231"/>
      <c r="AA426" s="231"/>
      <c r="AB426" s="231"/>
      <c r="AC426" s="231"/>
      <c r="AD426" s="426"/>
      <c r="AE426" s="426"/>
      <c r="AF426" s="426"/>
      <c r="AG426" s="426"/>
      <c r="AH426" s="426"/>
      <c r="AI426" s="426"/>
      <c r="AJ426" s="426"/>
      <c r="AK426" s="426"/>
      <c r="AL426" s="426"/>
      <c r="AM426" s="426"/>
      <c r="AN426" s="426"/>
      <c r="AO426" s="426"/>
    </row>
    <row r="427" spans="3:41" s="230" customFormat="1" ht="15" customHeight="1">
      <c r="C427" s="299"/>
      <c r="D427" s="173" t="str">
        <f>IF(Indice_index!$Z$1=1,"março","March")</f>
        <v>March</v>
      </c>
      <c r="E427" s="1288">
        <v>1036</v>
      </c>
      <c r="F427" s="1288">
        <v>222</v>
      </c>
      <c r="G427" s="1288">
        <v>1078</v>
      </c>
      <c r="H427" s="1288">
        <v>2336</v>
      </c>
      <c r="I427" s="1288">
        <v>2405</v>
      </c>
      <c r="J427" s="1289">
        <v>1613764.1900000002</v>
      </c>
      <c r="K427" s="1289">
        <v>133205.26999999999</v>
      </c>
      <c r="L427" s="1289">
        <v>613383.06000000006</v>
      </c>
      <c r="M427" s="1289">
        <v>2360352.5200000005</v>
      </c>
      <c r="N427" s="1289">
        <v>2673440.56</v>
      </c>
      <c r="O427" s="1289">
        <v>1388.7</v>
      </c>
      <c r="P427" s="1289">
        <v>569</v>
      </c>
      <c r="R427" s="231"/>
      <c r="S427" s="231"/>
      <c r="T427" s="231"/>
      <c r="U427" s="231"/>
      <c r="V427" s="231"/>
      <c r="W427" s="231"/>
      <c r="X427" s="231"/>
      <c r="Y427" s="231"/>
      <c r="Z427" s="231"/>
      <c r="AA427" s="231"/>
      <c r="AB427" s="231"/>
      <c r="AC427" s="231"/>
      <c r="AD427" s="426"/>
      <c r="AE427" s="426"/>
      <c r="AF427" s="426"/>
      <c r="AG427" s="426"/>
      <c r="AH427" s="426"/>
      <c r="AI427" s="426"/>
      <c r="AJ427" s="426"/>
      <c r="AK427" s="426"/>
      <c r="AL427" s="426"/>
      <c r="AM427" s="426"/>
      <c r="AN427" s="426"/>
      <c r="AO427" s="426"/>
    </row>
    <row r="428" spans="3:41" s="230" customFormat="1" ht="15" customHeight="1">
      <c r="C428" s="299"/>
      <c r="D428" s="173" t="str">
        <f>IF(Indice_index!$Z$1=1,"abril","April")</f>
        <v>April</v>
      </c>
      <c r="E428" s="1275">
        <v>1283</v>
      </c>
      <c r="F428" s="1275">
        <v>72</v>
      </c>
      <c r="G428" s="1275">
        <v>1236</v>
      </c>
      <c r="H428" s="1275">
        <v>2591</v>
      </c>
      <c r="I428" s="1275">
        <v>1968</v>
      </c>
      <c r="J428" s="1276">
        <v>1804177.68</v>
      </c>
      <c r="K428" s="1276">
        <v>70996.08</v>
      </c>
      <c r="L428" s="1276">
        <v>710753.37</v>
      </c>
      <c r="M428" s="1276">
        <v>2585927.13</v>
      </c>
      <c r="N428" s="1276">
        <v>2223482.38</v>
      </c>
      <c r="O428" s="1276">
        <v>1383.9</v>
      </c>
      <c r="P428" s="1276">
        <v>575</v>
      </c>
      <c r="R428" s="231"/>
      <c r="S428" s="231"/>
      <c r="T428" s="231"/>
      <c r="U428" s="231"/>
      <c r="V428" s="231"/>
      <c r="W428" s="231"/>
      <c r="X428" s="231"/>
      <c r="Y428" s="231"/>
      <c r="Z428" s="231"/>
      <c r="AA428" s="231"/>
      <c r="AB428" s="231"/>
      <c r="AC428" s="231"/>
      <c r="AD428" s="426"/>
      <c r="AE428" s="426"/>
      <c r="AF428" s="426"/>
      <c r="AG428" s="426"/>
      <c r="AH428" s="426"/>
      <c r="AI428" s="426"/>
      <c r="AJ428" s="426"/>
      <c r="AK428" s="426"/>
      <c r="AL428" s="426"/>
      <c r="AM428" s="426"/>
      <c r="AN428" s="426"/>
      <c r="AO428" s="426"/>
    </row>
    <row r="429" spans="3:41" s="230" customFormat="1" ht="15" customHeight="1">
      <c r="C429" s="299"/>
      <c r="D429" s="173" t="str">
        <f>IF(Indice_index!$Z$1=1,"maio","May")</f>
        <v>May</v>
      </c>
      <c r="E429" s="1290">
        <v>1308</v>
      </c>
      <c r="F429" s="1290">
        <v>110</v>
      </c>
      <c r="G429" s="1290">
        <v>1023</v>
      </c>
      <c r="H429" s="1290">
        <v>2441</v>
      </c>
      <c r="I429" s="1290">
        <v>1258</v>
      </c>
      <c r="J429" s="1291">
        <v>1815930.3900000001</v>
      </c>
      <c r="K429" s="1291">
        <v>133305.41</v>
      </c>
      <c r="L429" s="1291">
        <v>555171.43000000005</v>
      </c>
      <c r="M429" s="1291">
        <v>2504407.23</v>
      </c>
      <c r="N429" s="1291">
        <v>1405971.93</v>
      </c>
      <c r="O429" s="1291">
        <v>1374.6</v>
      </c>
      <c r="P429" s="1291">
        <v>542.70000000000005</v>
      </c>
      <c r="R429" s="231"/>
      <c r="S429" s="231"/>
      <c r="T429" s="231"/>
      <c r="U429" s="231"/>
      <c r="V429" s="231"/>
      <c r="W429" s="231"/>
      <c r="X429" s="231"/>
      <c r="Y429" s="231"/>
      <c r="Z429" s="231"/>
      <c r="AA429" s="231"/>
      <c r="AB429" s="231"/>
      <c r="AC429" s="231"/>
      <c r="AD429" s="426"/>
      <c r="AE429" s="426"/>
      <c r="AF429" s="426"/>
      <c r="AG429" s="426"/>
      <c r="AH429" s="426"/>
      <c r="AI429" s="426"/>
      <c r="AJ429" s="426"/>
      <c r="AK429" s="426"/>
      <c r="AL429" s="426"/>
      <c r="AM429" s="426"/>
      <c r="AN429" s="426"/>
      <c r="AO429" s="426"/>
    </row>
    <row r="430" spans="3:41" s="230" customFormat="1" ht="15" customHeight="1">
      <c r="C430" s="299"/>
      <c r="D430" s="173" t="str">
        <f>IF(Indice_index!$Z$1=1,"junho","June")</f>
        <v>June</v>
      </c>
      <c r="E430" s="1292">
        <v>1295</v>
      </c>
      <c r="F430" s="1292">
        <v>111</v>
      </c>
      <c r="G430" s="1292">
        <v>934</v>
      </c>
      <c r="H430" s="1292">
        <v>2340</v>
      </c>
      <c r="I430" s="1292">
        <v>1117</v>
      </c>
      <c r="J430" s="1293">
        <v>1705979.83</v>
      </c>
      <c r="K430" s="1293">
        <v>133788.29999999999</v>
      </c>
      <c r="L430" s="1293">
        <v>509751.18</v>
      </c>
      <c r="M430" s="1293">
        <v>2349519.31</v>
      </c>
      <c r="N430" s="1293">
        <v>1237118.06</v>
      </c>
      <c r="O430" s="1293">
        <v>1308.5</v>
      </c>
      <c r="P430" s="1293">
        <v>545.79999999999995</v>
      </c>
      <c r="R430" s="231"/>
      <c r="S430" s="231"/>
      <c r="T430" s="231"/>
      <c r="U430" s="231"/>
      <c r="V430" s="231"/>
      <c r="W430" s="231"/>
      <c r="X430" s="231"/>
      <c r="Y430" s="231"/>
      <c r="Z430" s="231"/>
      <c r="AA430" s="231"/>
      <c r="AB430" s="231"/>
      <c r="AC430" s="231"/>
    </row>
    <row r="431" spans="3:41" s="230" customFormat="1" ht="15" customHeight="1">
      <c r="C431" s="299"/>
      <c r="D431" s="173" t="str">
        <f>IF(Indice_index!$Z$1=1,"julho","July")</f>
        <v>July</v>
      </c>
      <c r="E431" s="1294">
        <v>1548</v>
      </c>
      <c r="F431" s="1294">
        <v>107</v>
      </c>
      <c r="G431" s="1294">
        <v>769</v>
      </c>
      <c r="H431" s="1294">
        <v>2424</v>
      </c>
      <c r="I431" s="1294">
        <v>1105</v>
      </c>
      <c r="J431" s="1295">
        <v>2041996.1</v>
      </c>
      <c r="K431" s="1295">
        <v>127232.38</v>
      </c>
      <c r="L431" s="1295">
        <v>390379.21</v>
      </c>
      <c r="M431" s="1295">
        <v>2559607.69</v>
      </c>
      <c r="N431" s="1295">
        <v>1305963.02</v>
      </c>
      <c r="O431" s="1295">
        <v>1310.7</v>
      </c>
      <c r="P431" s="1295">
        <v>507.6</v>
      </c>
      <c r="R431" s="231"/>
      <c r="S431" s="231"/>
      <c r="T431" s="231"/>
      <c r="U431" s="231"/>
      <c r="V431" s="231"/>
      <c r="W431" s="231"/>
      <c r="X431" s="231"/>
      <c r="Y431" s="231"/>
      <c r="Z431" s="231"/>
      <c r="AA431" s="231"/>
      <c r="AB431" s="231"/>
      <c r="AC431" s="231"/>
    </row>
    <row r="432" spans="3:41" s="230" customFormat="1" ht="15" customHeight="1">
      <c r="C432" s="299"/>
      <c r="D432" s="173" t="str">
        <f>IF(Indice_index!$Z$1=1,"agosto","August")</f>
        <v>August</v>
      </c>
      <c r="E432" s="1296">
        <v>1486</v>
      </c>
      <c r="F432" s="1296">
        <v>126</v>
      </c>
      <c r="G432" s="1296">
        <v>863</v>
      </c>
      <c r="H432" s="1296">
        <v>2475</v>
      </c>
      <c r="I432" s="1296">
        <v>1058</v>
      </c>
      <c r="J432" s="1297">
        <v>1897364.2</v>
      </c>
      <c r="K432" s="1297">
        <v>142210.25</v>
      </c>
      <c r="L432" s="1297">
        <v>468601</v>
      </c>
      <c r="M432" s="1297">
        <v>2508175.4500000002</v>
      </c>
      <c r="N432" s="1297">
        <v>1161705</v>
      </c>
      <c r="O432" s="1298">
        <v>1265.2</v>
      </c>
      <c r="P432" s="1298">
        <v>543</v>
      </c>
    </row>
    <row r="433" spans="3:41" s="230" customFormat="1" ht="15" customHeight="1">
      <c r="C433" s="299"/>
      <c r="D433" s="173" t="str">
        <f>IF(Indice_index!$Z$1=1,"setembro","September")</f>
        <v>September</v>
      </c>
      <c r="E433" s="1299">
        <v>1195</v>
      </c>
      <c r="F433" s="1299">
        <v>88</v>
      </c>
      <c r="G433" s="1299">
        <v>728</v>
      </c>
      <c r="H433" s="1299">
        <v>2011</v>
      </c>
      <c r="I433" s="1299">
        <v>1125</v>
      </c>
      <c r="J433" s="1300">
        <v>1784873.2</v>
      </c>
      <c r="K433" s="1300">
        <v>94208.49</v>
      </c>
      <c r="L433" s="1300">
        <v>389174.55</v>
      </c>
      <c r="M433" s="1300">
        <v>2268256.2399999998</v>
      </c>
      <c r="N433" s="1300">
        <v>1343124.69</v>
      </c>
      <c r="O433" s="1301">
        <v>1464.6</v>
      </c>
      <c r="P433" s="1301">
        <v>534.6</v>
      </c>
    </row>
    <row r="434" spans="3:41" s="230" customFormat="1" ht="15" customHeight="1">
      <c r="C434" s="299"/>
      <c r="D434" s="173" t="str">
        <f>IF(Indice_index!$Z$1=1,"outubro","October")</f>
        <v>October</v>
      </c>
      <c r="E434" s="1281">
        <v>1266</v>
      </c>
      <c r="F434" s="1281">
        <v>100</v>
      </c>
      <c r="G434" s="1281">
        <v>617</v>
      </c>
      <c r="H434" s="1281">
        <v>1983</v>
      </c>
      <c r="I434" s="1281">
        <v>1209</v>
      </c>
      <c r="J434" s="1282">
        <v>1666727.6800000002</v>
      </c>
      <c r="K434" s="1282">
        <v>122592.57999999999</v>
      </c>
      <c r="L434" s="1282">
        <v>317206.96000000002</v>
      </c>
      <c r="M434" s="1282">
        <v>2106527.2200000002</v>
      </c>
      <c r="N434" s="1282">
        <v>1330476.01</v>
      </c>
      <c r="O434" s="1282">
        <v>1309.9000000000001</v>
      </c>
      <c r="P434" s="1282">
        <v>514.1</v>
      </c>
    </row>
    <row r="435" spans="3:41" s="172" customFormat="1" ht="15" customHeight="1">
      <c r="C435" s="1274"/>
      <c r="D435" s="173" t="str">
        <f>IF(Indice_index!$Z$1=1,"novembro","November")</f>
        <v>November</v>
      </c>
      <c r="E435" s="1283">
        <v>1183</v>
      </c>
      <c r="F435" s="1283">
        <v>103</v>
      </c>
      <c r="G435" s="1283">
        <v>799</v>
      </c>
      <c r="H435" s="1283">
        <v>2085</v>
      </c>
      <c r="I435" s="1283">
        <v>1166</v>
      </c>
      <c r="J435" s="1284">
        <v>1598623.57</v>
      </c>
      <c r="K435" s="1284">
        <v>130135.86000000002</v>
      </c>
      <c r="L435" s="1284">
        <v>460655.36000000004</v>
      </c>
      <c r="M435" s="1284">
        <v>2189414.79</v>
      </c>
      <c r="N435" s="1284">
        <v>1319273.3500000001</v>
      </c>
      <c r="O435" s="1284">
        <v>1344.3</v>
      </c>
      <c r="P435" s="1284">
        <v>576.5</v>
      </c>
      <c r="R435" s="230"/>
      <c r="S435" s="230"/>
      <c r="T435" s="230"/>
      <c r="U435" s="230"/>
      <c r="V435" s="230"/>
      <c r="W435" s="230"/>
      <c r="X435" s="230"/>
      <c r="Y435" s="230"/>
      <c r="Z435" s="230"/>
      <c r="AA435" s="230"/>
      <c r="AB435" s="230"/>
      <c r="AC435" s="230"/>
    </row>
    <row r="436" spans="3:41" s="230" customFormat="1" ht="15" customHeight="1">
      <c r="C436" s="1204"/>
      <c r="D436" s="173" t="str">
        <f>IF(Indice_index!$Z$1=1,"dezembro","December")</f>
        <v>December</v>
      </c>
      <c r="E436" s="1302">
        <v>1258</v>
      </c>
      <c r="F436" s="1302">
        <v>86</v>
      </c>
      <c r="G436" s="1302">
        <v>799</v>
      </c>
      <c r="H436" s="1302">
        <v>2143</v>
      </c>
      <c r="I436" s="1302">
        <v>1157</v>
      </c>
      <c r="J436" s="1303">
        <v>1695800.9499999997</v>
      </c>
      <c r="K436" s="1303">
        <v>99472.79</v>
      </c>
      <c r="L436" s="1303">
        <v>423524.91</v>
      </c>
      <c r="M436" s="1303">
        <v>2218798.65</v>
      </c>
      <c r="N436" s="1303">
        <v>1390334.04</v>
      </c>
      <c r="O436" s="1304">
        <v>1335.8</v>
      </c>
      <c r="P436" s="1304">
        <v>530.1</v>
      </c>
      <c r="X436" s="50"/>
      <c r="Y436" s="50"/>
      <c r="Z436" s="50"/>
      <c r="AA436" s="171"/>
    </row>
    <row r="437" spans="3:41" s="230" customFormat="1" ht="15" customHeight="1">
      <c r="C437" s="1287" t="s">
        <v>75</v>
      </c>
      <c r="D437" s="172"/>
      <c r="E437" s="1271"/>
      <c r="F437" s="1271"/>
      <c r="G437" s="1271"/>
      <c r="H437" s="1271"/>
      <c r="I437" s="1271"/>
      <c r="J437" s="1164"/>
      <c r="K437" s="1164"/>
      <c r="L437" s="1164"/>
      <c r="M437" s="1164"/>
      <c r="N437" s="1164"/>
      <c r="O437" s="1164"/>
      <c r="P437" s="1164"/>
      <c r="R437" s="231"/>
      <c r="S437" s="231"/>
      <c r="T437" s="231"/>
      <c r="U437" s="231"/>
      <c r="V437" s="231"/>
      <c r="W437" s="231"/>
      <c r="X437" s="231"/>
      <c r="Y437" s="231"/>
      <c r="Z437" s="231"/>
      <c r="AA437" s="231"/>
      <c r="AB437" s="231"/>
      <c r="AC437" s="231"/>
    </row>
    <row r="438" spans="3:41" s="172" customFormat="1" ht="15" customHeight="1">
      <c r="C438" s="1274"/>
      <c r="D438" s="173" t="str">
        <f>IF(Indice_index!$Z$1=1,"janeiro","January")</f>
        <v>January</v>
      </c>
      <c r="E438" s="1305">
        <v>1437</v>
      </c>
      <c r="F438" s="1305">
        <v>96</v>
      </c>
      <c r="G438" s="1305">
        <v>623</v>
      </c>
      <c r="H438" s="1305">
        <v>2156</v>
      </c>
      <c r="I438" s="1305">
        <v>1325</v>
      </c>
      <c r="J438" s="1306">
        <v>2005121.44</v>
      </c>
      <c r="K438" s="1306">
        <v>106031.63</v>
      </c>
      <c r="L438" s="1306">
        <v>320876.56999999989</v>
      </c>
      <c r="M438" s="1306">
        <v>2432029.6399999997</v>
      </c>
      <c r="N438" s="1306">
        <v>1521835.02</v>
      </c>
      <c r="O438" s="1307">
        <v>1377.1</v>
      </c>
      <c r="P438" s="1307">
        <v>515.1</v>
      </c>
      <c r="R438" s="231"/>
      <c r="S438" s="231"/>
      <c r="T438" s="231"/>
      <c r="U438" s="231"/>
      <c r="V438" s="231"/>
      <c r="W438" s="231"/>
      <c r="X438" s="231"/>
      <c r="Y438" s="231"/>
      <c r="Z438" s="231"/>
      <c r="AA438" s="231"/>
      <c r="AB438" s="231"/>
      <c r="AC438" s="231"/>
      <c r="AD438" s="426"/>
      <c r="AE438" s="426"/>
      <c r="AF438" s="426"/>
      <c r="AG438" s="426"/>
      <c r="AH438" s="426"/>
      <c r="AI438" s="426"/>
      <c r="AJ438" s="426"/>
      <c r="AK438" s="426"/>
      <c r="AL438" s="426"/>
      <c r="AM438" s="426"/>
      <c r="AN438" s="426"/>
      <c r="AO438" s="426"/>
    </row>
    <row r="439" spans="3:41" s="172" customFormat="1" ht="15" customHeight="1">
      <c r="C439" s="1274"/>
      <c r="D439" s="173" t="str">
        <f>IF(Indice_index!$Z$1=1,"fevereiro","February")</f>
        <v>February</v>
      </c>
      <c r="E439" s="1308">
        <v>1337</v>
      </c>
      <c r="F439" s="1308">
        <v>52</v>
      </c>
      <c r="G439" s="1308">
        <v>696</v>
      </c>
      <c r="H439" s="1308">
        <v>2085</v>
      </c>
      <c r="I439" s="1308">
        <v>1497</v>
      </c>
      <c r="J439" s="1309">
        <v>1901082.0899999999</v>
      </c>
      <c r="K439" s="1309">
        <v>66170.700000000012</v>
      </c>
      <c r="L439" s="1309">
        <v>405249.56</v>
      </c>
      <c r="M439" s="1309">
        <v>2372502.3499999996</v>
      </c>
      <c r="N439" s="1309">
        <v>1719682.26</v>
      </c>
      <c r="O439" s="1310">
        <v>1416.3</v>
      </c>
      <c r="P439" s="1311">
        <v>582.29999999999995</v>
      </c>
      <c r="R439" s="231"/>
      <c r="S439" s="231"/>
      <c r="T439" s="231"/>
      <c r="U439" s="231"/>
      <c r="V439" s="231"/>
      <c r="W439" s="231"/>
      <c r="X439" s="231"/>
      <c r="Y439" s="231"/>
      <c r="Z439" s="231"/>
      <c r="AA439" s="231"/>
      <c r="AB439" s="231"/>
      <c r="AC439" s="231"/>
      <c r="AD439" s="426"/>
      <c r="AE439" s="426"/>
      <c r="AF439" s="426"/>
      <c r="AG439" s="426"/>
      <c r="AH439" s="426"/>
      <c r="AI439" s="426"/>
      <c r="AJ439" s="426"/>
      <c r="AK439" s="426"/>
      <c r="AL439" s="426"/>
      <c r="AM439" s="426"/>
      <c r="AN439" s="426"/>
      <c r="AO439" s="426"/>
    </row>
    <row r="440" spans="3:41" s="230" customFormat="1" ht="15" customHeight="1">
      <c r="C440" s="299"/>
      <c r="D440" s="173" t="str">
        <f>IF(Indice_index!$Z$1=1,"março","March")</f>
        <v>March</v>
      </c>
      <c r="E440" s="1312">
        <v>1127</v>
      </c>
      <c r="F440" s="1312">
        <v>81</v>
      </c>
      <c r="G440" s="1312">
        <v>752</v>
      </c>
      <c r="H440" s="1312">
        <v>1960</v>
      </c>
      <c r="I440" s="1312">
        <v>1408</v>
      </c>
      <c r="J440" s="1313">
        <v>1752452.3</v>
      </c>
      <c r="K440" s="1313">
        <v>92017.790000000008</v>
      </c>
      <c r="L440" s="1313">
        <v>360523.12999999995</v>
      </c>
      <c r="M440" s="1313">
        <v>2204993.2200000002</v>
      </c>
      <c r="N440" s="1313">
        <v>1619825.08</v>
      </c>
      <c r="O440" s="1314">
        <v>1526.9</v>
      </c>
      <c r="P440" s="1315">
        <v>479.4</v>
      </c>
      <c r="R440" s="231"/>
      <c r="S440" s="231"/>
      <c r="T440" s="231"/>
      <c r="U440" s="231"/>
      <c r="V440" s="231"/>
      <c r="W440" s="231"/>
      <c r="X440" s="231"/>
      <c r="Y440" s="231"/>
      <c r="Z440" s="231"/>
      <c r="AA440" s="231"/>
      <c r="AB440" s="231"/>
      <c r="AC440" s="231"/>
      <c r="AD440" s="426"/>
      <c r="AE440" s="426"/>
      <c r="AF440" s="426"/>
      <c r="AG440" s="426"/>
      <c r="AH440" s="426"/>
      <c r="AI440" s="426"/>
      <c r="AJ440" s="426"/>
      <c r="AK440" s="426"/>
      <c r="AL440" s="426"/>
      <c r="AM440" s="426"/>
      <c r="AN440" s="426"/>
      <c r="AO440" s="426"/>
    </row>
    <row r="441" spans="3:41" s="230" customFormat="1" ht="15" customHeight="1">
      <c r="C441" s="299"/>
      <c r="D441" s="173" t="str">
        <f>IF(Indice_index!$Z$1=1,"abril","April")</f>
        <v>April</v>
      </c>
      <c r="E441" s="1275">
        <v>1334</v>
      </c>
      <c r="F441" s="1275">
        <v>67</v>
      </c>
      <c r="G441" s="1275">
        <v>932</v>
      </c>
      <c r="H441" s="1275">
        <v>2333</v>
      </c>
      <c r="I441" s="1275">
        <v>1429</v>
      </c>
      <c r="J441" s="1276">
        <v>1988858.03</v>
      </c>
      <c r="K441" s="1276">
        <v>70479.95</v>
      </c>
      <c r="L441" s="1276">
        <v>490821.11999999988</v>
      </c>
      <c r="M441" s="1276">
        <v>2550159.0999999996</v>
      </c>
      <c r="N441" s="1276">
        <v>1619993.07</v>
      </c>
      <c r="O441" s="1276">
        <v>1469.9</v>
      </c>
      <c r="P441" s="1276">
        <v>526.6</v>
      </c>
      <c r="R441" s="231"/>
      <c r="S441" s="231"/>
      <c r="T441" s="231"/>
      <c r="U441" s="231"/>
      <c r="V441" s="231"/>
      <c r="W441" s="231"/>
      <c r="X441" s="231"/>
      <c r="Y441" s="231"/>
      <c r="Z441" s="231"/>
      <c r="AA441" s="231"/>
      <c r="AB441" s="231"/>
      <c r="AC441" s="231"/>
      <c r="AD441" s="426"/>
      <c r="AE441" s="426"/>
      <c r="AF441" s="426"/>
      <c r="AG441" s="426"/>
      <c r="AH441" s="426"/>
      <c r="AI441" s="426"/>
      <c r="AJ441" s="426"/>
      <c r="AK441" s="426"/>
      <c r="AL441" s="426"/>
      <c r="AM441" s="426"/>
      <c r="AN441" s="426"/>
      <c r="AO441" s="426"/>
    </row>
    <row r="442" spans="3:41" s="230" customFormat="1" ht="15" customHeight="1">
      <c r="C442" s="299"/>
      <c r="D442" s="173" t="str">
        <f>IF(Indice_index!$Z$1=1,"maio","May")</f>
        <v>May</v>
      </c>
      <c r="E442" s="1290">
        <v>1554</v>
      </c>
      <c r="F442" s="1290">
        <v>77</v>
      </c>
      <c r="G442" s="1290">
        <v>810</v>
      </c>
      <c r="H442" s="1290">
        <v>2441</v>
      </c>
      <c r="I442" s="1290">
        <v>1358</v>
      </c>
      <c r="J442" s="1291">
        <v>2514972.58</v>
      </c>
      <c r="K442" s="1291">
        <v>86613.47</v>
      </c>
      <c r="L442" s="1291">
        <v>459321.77999999997</v>
      </c>
      <c r="M442" s="1291">
        <v>3060907.83</v>
      </c>
      <c r="N442" s="1291">
        <v>1554368.07</v>
      </c>
      <c r="O442" s="1291">
        <v>1595.1</v>
      </c>
      <c r="P442" s="1291">
        <v>567.1</v>
      </c>
      <c r="R442" s="231"/>
      <c r="S442" s="231"/>
      <c r="T442" s="231"/>
      <c r="U442" s="231"/>
      <c r="V442" s="231"/>
      <c r="W442" s="231"/>
      <c r="X442" s="231"/>
      <c r="Y442" s="231"/>
      <c r="Z442" s="231"/>
      <c r="AA442" s="231"/>
      <c r="AB442" s="231"/>
      <c r="AC442" s="231"/>
      <c r="AD442" s="426"/>
      <c r="AE442" s="426"/>
      <c r="AF442" s="426"/>
      <c r="AG442" s="426"/>
      <c r="AH442" s="426"/>
      <c r="AI442" s="426"/>
      <c r="AJ442" s="426"/>
      <c r="AK442" s="426"/>
      <c r="AL442" s="426"/>
      <c r="AM442" s="426"/>
      <c r="AN442" s="426"/>
      <c r="AO442" s="426"/>
    </row>
    <row r="443" spans="3:41" s="230" customFormat="1" ht="15" hidden="1" customHeight="1">
      <c r="C443" s="299"/>
      <c r="D443" s="173" t="str">
        <f>IF(Indice_index!$Z$1=1,"junho","June")</f>
        <v>June</v>
      </c>
      <c r="E443" s="1292"/>
      <c r="F443" s="1292"/>
      <c r="G443" s="1292"/>
      <c r="H443" s="1292"/>
      <c r="I443" s="1292"/>
      <c r="J443" s="1293"/>
      <c r="K443" s="1293"/>
      <c r="L443" s="1293"/>
      <c r="M443" s="1293"/>
      <c r="N443" s="1293"/>
      <c r="O443" s="1293"/>
      <c r="P443" s="1293"/>
      <c r="R443" s="231"/>
      <c r="S443" s="231"/>
      <c r="T443" s="231"/>
      <c r="U443" s="231"/>
      <c r="V443" s="231"/>
      <c r="W443" s="231"/>
      <c r="X443" s="231"/>
      <c r="Y443" s="231"/>
      <c r="Z443" s="231"/>
      <c r="AA443" s="231"/>
      <c r="AB443" s="231"/>
      <c r="AC443" s="231"/>
    </row>
    <row r="444" spans="3:41" s="230" customFormat="1" ht="15" hidden="1" customHeight="1">
      <c r="C444" s="299"/>
      <c r="D444" s="173" t="str">
        <f>IF(Indice_index!$Z$1=1,"julho","July")</f>
        <v>July</v>
      </c>
      <c r="E444" s="1294"/>
      <c r="F444" s="1294"/>
      <c r="G444" s="1294"/>
      <c r="H444" s="1294"/>
      <c r="I444" s="1294"/>
      <c r="J444" s="1295"/>
      <c r="K444" s="1295"/>
      <c r="L444" s="1295"/>
      <c r="M444" s="1295"/>
      <c r="N444" s="1295"/>
      <c r="O444" s="1295"/>
      <c r="P444" s="1295"/>
      <c r="R444" s="231"/>
      <c r="S444" s="231"/>
      <c r="T444" s="231"/>
      <c r="U444" s="231"/>
      <c r="V444" s="231"/>
      <c r="W444" s="231"/>
      <c r="X444" s="231"/>
      <c r="Y444" s="231"/>
      <c r="Z444" s="231"/>
      <c r="AA444" s="231"/>
      <c r="AB444" s="231"/>
      <c r="AC444" s="231"/>
    </row>
    <row r="445" spans="3:41" s="230" customFormat="1" ht="15" hidden="1" customHeight="1">
      <c r="C445" s="299"/>
      <c r="D445" s="173" t="str">
        <f>IF(Indice_index!$Z$1=1,"agosto","August")</f>
        <v>August</v>
      </c>
      <c r="E445" s="1296"/>
      <c r="F445" s="1296"/>
      <c r="G445" s="1296"/>
      <c r="H445" s="1296"/>
      <c r="I445" s="1296"/>
      <c r="J445" s="1297"/>
      <c r="K445" s="1297"/>
      <c r="L445" s="1297"/>
      <c r="M445" s="1297"/>
      <c r="N445" s="1297"/>
      <c r="O445" s="1298"/>
      <c r="P445" s="1298"/>
    </row>
    <row r="446" spans="3:41" s="230" customFormat="1" ht="15" hidden="1" customHeight="1">
      <c r="C446" s="299"/>
      <c r="D446" s="173" t="str">
        <f>IF(Indice_index!$Z$1=1,"setembro","September")</f>
        <v>September</v>
      </c>
      <c r="E446" s="1299"/>
      <c r="F446" s="1299"/>
      <c r="G446" s="1299"/>
      <c r="H446" s="1299"/>
      <c r="I446" s="1299"/>
      <c r="J446" s="1300"/>
      <c r="K446" s="1300"/>
      <c r="L446" s="1300"/>
      <c r="M446" s="1300"/>
      <c r="N446" s="1300"/>
      <c r="O446" s="1301"/>
      <c r="P446" s="1301"/>
    </row>
    <row r="447" spans="3:41" s="230" customFormat="1" ht="15" hidden="1" customHeight="1">
      <c r="C447" s="299"/>
      <c r="D447" s="173" t="str">
        <f>IF(Indice_index!$Z$1=1,"outubro","October")</f>
        <v>October</v>
      </c>
      <c r="E447" s="1281"/>
      <c r="F447" s="1281"/>
      <c r="G447" s="1281"/>
      <c r="H447" s="1281"/>
      <c r="I447" s="1281"/>
      <c r="J447" s="1282"/>
      <c r="K447" s="1282"/>
      <c r="L447" s="1282"/>
      <c r="M447" s="1282"/>
      <c r="N447" s="1282"/>
      <c r="O447" s="1282"/>
      <c r="P447" s="1282"/>
    </row>
    <row r="448" spans="3:41" s="172" customFormat="1" ht="15" hidden="1" customHeight="1">
      <c r="C448" s="1274"/>
      <c r="D448" s="173" t="str">
        <f>IF(Indice_index!$Z$1=1,"novembro","November")</f>
        <v>November</v>
      </c>
      <c r="E448" s="1283"/>
      <c r="F448" s="1283"/>
      <c r="G448" s="1283"/>
      <c r="H448" s="1283"/>
      <c r="I448" s="1283"/>
      <c r="J448" s="1284"/>
      <c r="K448" s="1284"/>
      <c r="L448" s="1284"/>
      <c r="M448" s="1284"/>
      <c r="N448" s="1284"/>
      <c r="O448" s="1284"/>
      <c r="P448" s="1284"/>
      <c r="R448" s="230"/>
      <c r="S448" s="230"/>
      <c r="T448" s="230"/>
      <c r="U448" s="230"/>
      <c r="V448" s="230"/>
      <c r="W448" s="230"/>
      <c r="X448" s="230"/>
      <c r="Y448" s="230"/>
      <c r="Z448" s="230"/>
      <c r="AA448" s="230"/>
      <c r="AB448" s="230"/>
      <c r="AC448" s="230"/>
    </row>
    <row r="449" spans="3:27" s="230" customFormat="1" ht="15" hidden="1" customHeight="1">
      <c r="C449" s="1204"/>
      <c r="D449" s="173" t="str">
        <f>IF(Indice_index!$Z$1=1,"dezembro","December")</f>
        <v>December</v>
      </c>
      <c r="E449" s="1302"/>
      <c r="F449" s="1302"/>
      <c r="G449" s="1302"/>
      <c r="H449" s="1302"/>
      <c r="I449" s="1302"/>
      <c r="J449" s="1303"/>
      <c r="K449" s="1303"/>
      <c r="L449" s="1303"/>
      <c r="M449" s="1303"/>
      <c r="N449" s="1303"/>
      <c r="O449" s="1304"/>
      <c r="P449" s="1304"/>
      <c r="X449" s="50"/>
      <c r="Y449" s="50"/>
      <c r="Z449" s="50"/>
      <c r="AA449" s="171"/>
    </row>
    <row r="450" spans="3:27" s="230" customFormat="1" ht="3" customHeight="1">
      <c r="C450" s="1196"/>
      <c r="D450" s="1197"/>
      <c r="E450" s="1197"/>
      <c r="F450" s="1197"/>
      <c r="G450" s="1197"/>
      <c r="H450" s="1197"/>
      <c r="I450" s="1197"/>
      <c r="J450" s="1197"/>
      <c r="K450" s="1197"/>
      <c r="L450" s="1197"/>
      <c r="M450" s="1197"/>
      <c r="N450" s="1197"/>
      <c r="O450" s="1197"/>
      <c r="P450" s="1197"/>
      <c r="AA450" s="171"/>
    </row>
    <row r="451" spans="3:27" s="230" customFormat="1" ht="15" customHeight="1">
      <c r="C451" s="1316"/>
      <c r="F451" s="171"/>
      <c r="G451" s="171"/>
      <c r="H451" s="171"/>
      <c r="I451" s="171"/>
      <c r="J451" s="171"/>
      <c r="K451" s="171"/>
      <c r="L451" s="173"/>
      <c r="M451" s="173"/>
      <c r="N451" s="173"/>
      <c r="R451" s="172"/>
      <c r="X451" s="50"/>
      <c r="Y451" s="50"/>
      <c r="Z451" s="50"/>
      <c r="AA451" s="171"/>
    </row>
    <row r="452" spans="3:27" s="230" customFormat="1" ht="15" customHeight="1">
      <c r="C452" s="1316"/>
      <c r="F452" s="171"/>
      <c r="G452" s="171"/>
      <c r="H452" s="171"/>
      <c r="I452" s="171"/>
      <c r="J452" s="171"/>
      <c r="K452" s="171"/>
      <c r="L452" s="173"/>
      <c r="M452" s="173"/>
      <c r="N452" s="173"/>
      <c r="R452" s="172"/>
      <c r="X452" s="50"/>
      <c r="Y452" s="50"/>
      <c r="Z452" s="50"/>
      <c r="AA452" s="171"/>
    </row>
    <row r="453" spans="3:27" s="230" customFormat="1" ht="15" customHeight="1">
      <c r="C453" s="1267"/>
      <c r="D453" s="1242"/>
      <c r="E453" s="172"/>
      <c r="F453" s="1242"/>
      <c r="G453" s="1242"/>
      <c r="H453" s="172"/>
      <c r="I453" s="172"/>
      <c r="J453" s="172"/>
      <c r="K453" s="172"/>
      <c r="L453" s="172"/>
      <c r="M453" s="172"/>
      <c r="N453" s="172"/>
      <c r="O453" s="86"/>
      <c r="X453" s="50"/>
      <c r="Y453" s="50"/>
      <c r="Z453" s="50"/>
      <c r="AA453" s="171"/>
    </row>
    <row r="454" spans="3:27" s="230" customFormat="1" ht="12" customHeight="1">
      <c r="C454" s="1194"/>
      <c r="D454" s="1268"/>
      <c r="E454" s="1757" t="str">
        <f>IF(Indice_index!$Z$1=1,"VH do número de pensionistas (%)","YOY Change Rate of the number of subscribers (%)")</f>
        <v>YOY Change Rate of the number of subscribers (%)</v>
      </c>
      <c r="F454" s="1757"/>
      <c r="G454" s="1757"/>
      <c r="H454" s="1757"/>
      <c r="I454" s="1757"/>
      <c r="J454" s="1728" t="str">
        <f>IF(Indice_index!$Z$1=1,"VHA da Despesa com pensões (€)","YOY Change Rate of the Expense with Pensions")</f>
        <v>YOY Change Rate of the Expense with Pensions</v>
      </c>
      <c r="K454" s="1728"/>
      <c r="L454" s="1728"/>
      <c r="M454" s="1728"/>
      <c r="N454" s="1728"/>
      <c r="O454" s="1758" t="str">
        <f>IF(Indice_index!$Z$1=1,"VHA Pensão média nova Aposentação/Reforma (€)","YOY Change Rate of the Average Value paid per new Retirment Pensioner")</f>
        <v>YOY Change Rate of the Average Value paid per new Retirment Pensioner</v>
      </c>
      <c r="P454" s="1759" t="str">
        <f>IF(Indice_index!$Z$1=1,"VHA Pensão média nova Sobrevivência e Outras (€)","YOY Change Rate of the Average Value paid per new Survival and Others Pensioner")</f>
        <v>YOY Change Rate of the Average Value paid per new Survival and Others Pensioner</v>
      </c>
      <c r="X454" s="50"/>
      <c r="Y454" s="50"/>
      <c r="Z454" s="50"/>
      <c r="AA454" s="171"/>
    </row>
    <row r="455" spans="3:27" s="230" customFormat="1" ht="12" customHeight="1">
      <c r="C455" s="1267"/>
      <c r="D455" s="1269"/>
      <c r="E455" s="1757" t="str">
        <f>IF(Indice_index!$Z$1=1,"Novos","New")</f>
        <v>New</v>
      </c>
      <c r="F455" s="1757"/>
      <c r="G455" s="1757"/>
      <c r="H455" s="1757"/>
      <c r="I455" s="1758" t="str">
        <f>IF(Indice_index!$Z$1=1,"Abonos abatidos de Aposentação /Reforma","Allowances deducted from Retirement / Pension")</f>
        <v>Allowances deducted from Retirement / Pension</v>
      </c>
      <c r="J455" s="1728" t="str">
        <f>IF(Indice_index!$Z$1=1,"Novos","New")</f>
        <v>New</v>
      </c>
      <c r="K455" s="1728"/>
      <c r="L455" s="1728"/>
      <c r="M455" s="1728"/>
      <c r="N455" s="1758" t="str">
        <f>IF(Indice_index!$Z$1=1,"Abonos abatidos de Aposentação /Reforma","Allowances deducted from Retirement / Pension")</f>
        <v>Allowances deducted from Retirement / Pension</v>
      </c>
      <c r="O455" s="1758"/>
      <c r="P455" s="1759"/>
      <c r="X455" s="50"/>
      <c r="Y455" s="50"/>
      <c r="Z455" s="50"/>
      <c r="AA455" s="171"/>
    </row>
    <row r="456" spans="3:27" s="230" customFormat="1" ht="42" customHeight="1">
      <c r="C456" s="1196"/>
      <c r="D456" s="1270"/>
      <c r="E456" s="1198" t="str">
        <f>IF(Indice_index!$Z$1=1,"Velhice e Outros Motivos","Old age and other Reasons")</f>
        <v>Old age and other Reasons</v>
      </c>
      <c r="F456" s="1199" t="str">
        <f>IF(Indice_index!$Z$1=1,"Invalidez","Disability")</f>
        <v>Disability</v>
      </c>
      <c r="G456" s="1198" t="str">
        <f>IF(Indice_index!$Z$1=1,"Sobrevivência e Outros","Survival and Others")</f>
        <v>Survival and Others</v>
      </c>
      <c r="H456" s="1198" t="str">
        <f>IF(Indice_index!$Z$1=1,"Total de Pensionistas","Total of Pensioners")</f>
        <v>Total of Pensioners</v>
      </c>
      <c r="I456" s="1758"/>
      <c r="J456" s="1198" t="str">
        <f>IF(Indice_index!$Z$1=1,"Velhice e Outros Motivos","Old age and other Reasons")</f>
        <v>Old age and other Reasons</v>
      </c>
      <c r="K456" s="1199" t="str">
        <f>IF(Indice_index!$Z$1=1,"Invalidez","Disability")</f>
        <v>Disability</v>
      </c>
      <c r="L456" s="1198" t="str">
        <f>IF(Indice_index!$Z$1=1,"Sobrevivência e Outros","Survival and Others")</f>
        <v>Survival and Others</v>
      </c>
      <c r="M456" s="1198" t="str">
        <f>IF(Indice_index!$Z$1=1,"Total","Total")</f>
        <v>Total</v>
      </c>
      <c r="N456" s="1758"/>
      <c r="O456" s="1758"/>
      <c r="P456" s="1759"/>
      <c r="X456" s="50"/>
      <c r="Y456" s="50"/>
      <c r="Z456" s="50"/>
      <c r="AA456" s="171"/>
    </row>
    <row r="457" spans="3:27" s="230" customFormat="1" hidden="1">
      <c r="C457" s="1200" t="s">
        <v>12</v>
      </c>
      <c r="D457" s="1201"/>
      <c r="E457" s="1271"/>
      <c r="F457" s="1271"/>
      <c r="G457" s="1271"/>
      <c r="H457" s="1271"/>
      <c r="I457" s="1271"/>
      <c r="J457" s="1164"/>
      <c r="K457" s="1164"/>
      <c r="L457" s="1164"/>
      <c r="M457" s="172"/>
      <c r="N457" s="1271"/>
      <c r="O457" s="1164"/>
      <c r="X457" s="50"/>
      <c r="Y457" s="50"/>
      <c r="Z457" s="50"/>
      <c r="AA457" s="171"/>
    </row>
    <row r="458" spans="3:27" s="230" customFormat="1" hidden="1">
      <c r="C458" s="1200"/>
      <c r="D458" s="173" t="str">
        <f>IF(Indice_index!$Z$1=1,"janeiro","January")</f>
        <v>January</v>
      </c>
      <c r="E458" s="1164">
        <v>9.6999999999999993</v>
      </c>
      <c r="F458" s="1164">
        <v>5.3</v>
      </c>
      <c r="G458" s="1164">
        <v>21.4</v>
      </c>
      <c r="H458" s="1164">
        <v>12.1</v>
      </c>
      <c r="I458" s="1164">
        <v>-7.8</v>
      </c>
      <c r="J458" s="1164">
        <v>6.5</v>
      </c>
      <c r="K458" s="1164">
        <v>26.4</v>
      </c>
      <c r="L458" s="1164">
        <v>20.6</v>
      </c>
      <c r="M458" s="172">
        <v>9.1999999999999993</v>
      </c>
      <c r="N458" s="1164">
        <v>-5.5</v>
      </c>
      <c r="O458" s="1164">
        <v>-1.1000000000000001</v>
      </c>
      <c r="P458" s="230">
        <v>-0.7</v>
      </c>
      <c r="X458" s="50"/>
      <c r="Y458" s="50"/>
      <c r="Z458" s="50"/>
      <c r="AA458" s="171"/>
    </row>
    <row r="459" spans="3:27" s="230" customFormat="1" hidden="1">
      <c r="C459" s="1202"/>
      <c r="D459" s="173" t="str">
        <f>IF(Indice_index!$Z$1=1,"fevereiro","February")</f>
        <v>February</v>
      </c>
      <c r="E459" s="1164">
        <v>-22.3</v>
      </c>
      <c r="F459" s="1164">
        <v>4.3</v>
      </c>
      <c r="G459" s="1164">
        <v>-6.4</v>
      </c>
      <c r="H459" s="1164">
        <v>-16.2</v>
      </c>
      <c r="I459" s="1164">
        <v>1.5</v>
      </c>
      <c r="J459" s="1164">
        <v>-36.799999999999997</v>
      </c>
      <c r="K459" s="1164">
        <v>6.5</v>
      </c>
      <c r="L459" s="1164">
        <v>-4.5999999999999996</v>
      </c>
      <c r="M459" s="172">
        <v>-30.7</v>
      </c>
      <c r="N459" s="1164">
        <v>-1.2</v>
      </c>
      <c r="O459" s="1164">
        <v>-17.3</v>
      </c>
      <c r="P459" s="1164">
        <v>1.9</v>
      </c>
      <c r="X459" s="50"/>
      <c r="Y459" s="50"/>
      <c r="Z459" s="50"/>
      <c r="AA459" s="171"/>
    </row>
    <row r="460" spans="3:27" s="230" customFormat="1" hidden="1">
      <c r="C460" s="1202"/>
      <c r="D460" s="173" t="str">
        <f>IF(Indice_index!$Z$1=1,"março","March")</f>
        <v>March</v>
      </c>
      <c r="E460" s="1164">
        <v>25.9</v>
      </c>
      <c r="F460" s="1164">
        <v>-41.8</v>
      </c>
      <c r="G460" s="1164">
        <v>-28</v>
      </c>
      <c r="H460" s="1164">
        <v>-0.5</v>
      </c>
      <c r="I460" s="1164">
        <v>2.1</v>
      </c>
      <c r="J460" s="1164">
        <v>8.5</v>
      </c>
      <c r="K460" s="1164">
        <v>-38.9</v>
      </c>
      <c r="L460" s="1164">
        <v>-30.1</v>
      </c>
      <c r="M460" s="172">
        <v>-3.6</v>
      </c>
      <c r="N460" s="1164">
        <v>3.8</v>
      </c>
      <c r="O460" s="1164">
        <v>-11.4</v>
      </c>
      <c r="P460" s="1164">
        <v>-2.8</v>
      </c>
      <c r="X460" s="50"/>
      <c r="Y460" s="50"/>
      <c r="Z460" s="50"/>
      <c r="AA460" s="171"/>
    </row>
    <row r="461" spans="3:27" s="230" customFormat="1" hidden="1">
      <c r="C461" s="1202"/>
      <c r="D461" s="173" t="str">
        <f>IF(Indice_index!$Z$1=1,"abril","April")</f>
        <v>April</v>
      </c>
      <c r="E461" s="1164">
        <v>25.4</v>
      </c>
      <c r="F461" s="1164">
        <v>-34.700000000000003</v>
      </c>
      <c r="G461" s="1164">
        <v>-26.5</v>
      </c>
      <c r="H461" s="1164">
        <v>1.8</v>
      </c>
      <c r="I461" s="1164">
        <v>-18</v>
      </c>
      <c r="J461" s="1164">
        <v>15.4</v>
      </c>
      <c r="K461" s="1164">
        <v>-38</v>
      </c>
      <c r="L461" s="1164">
        <v>-13.2</v>
      </c>
      <c r="M461" s="172">
        <v>3.9</v>
      </c>
      <c r="N461" s="1164">
        <v>-16.8</v>
      </c>
      <c r="O461" s="1164">
        <v>-7.7</v>
      </c>
      <c r="P461" s="1164">
        <v>18.100000000000001</v>
      </c>
      <c r="X461" s="50"/>
      <c r="Y461" s="50"/>
      <c r="Z461" s="50"/>
      <c r="AA461" s="171"/>
    </row>
    <row r="462" spans="3:27" s="230" customFormat="1" hidden="1">
      <c r="C462" s="1202"/>
      <c r="D462" s="173" t="str">
        <f>IF(Indice_index!$Z$1=1,"maio","May")</f>
        <v>May</v>
      </c>
      <c r="E462" s="1164">
        <v>7.9</v>
      </c>
      <c r="F462" s="1164">
        <v>37.6</v>
      </c>
      <c r="G462" s="1164">
        <v>-6.6</v>
      </c>
      <c r="H462" s="1164">
        <v>5.4</v>
      </c>
      <c r="I462" s="1164">
        <v>-4.4000000000000004</v>
      </c>
      <c r="J462" s="1164">
        <v>8</v>
      </c>
      <c r="K462" s="1164">
        <v>46.1</v>
      </c>
      <c r="L462" s="1164">
        <v>-5.7</v>
      </c>
      <c r="M462" s="172">
        <v>8.6</v>
      </c>
      <c r="N462" s="1164">
        <v>-1.3</v>
      </c>
      <c r="O462" s="1164">
        <v>0.8</v>
      </c>
      <c r="P462" s="1164">
        <v>0.9</v>
      </c>
      <c r="X462" s="50"/>
      <c r="Y462" s="50"/>
      <c r="Z462" s="50"/>
      <c r="AA462" s="171"/>
    </row>
    <row r="463" spans="3:27" s="230" customFormat="1" hidden="1">
      <c r="C463" s="1202"/>
      <c r="D463" s="173" t="str">
        <f>IF(Indice_index!$Z$1=1,"junho","June")</f>
        <v>June</v>
      </c>
      <c r="E463" s="1164">
        <v>-21.2</v>
      </c>
      <c r="F463" s="1164">
        <v>73</v>
      </c>
      <c r="G463" s="1164">
        <v>-15</v>
      </c>
      <c r="H463" s="1164">
        <v>-11.9</v>
      </c>
      <c r="I463" s="1164">
        <v>8.4</v>
      </c>
      <c r="J463" s="1164">
        <v>-4.0999999999999996</v>
      </c>
      <c r="K463" s="1164">
        <v>57.3</v>
      </c>
      <c r="L463" s="1164">
        <v>-15.1</v>
      </c>
      <c r="M463" s="172">
        <v>0.8</v>
      </c>
      <c r="N463" s="1164">
        <v>13.2</v>
      </c>
      <c r="O463" s="1164">
        <v>16.3</v>
      </c>
      <c r="P463" s="1164">
        <v>-0.1</v>
      </c>
      <c r="X463" s="50"/>
      <c r="Y463" s="50"/>
      <c r="Z463" s="50"/>
      <c r="AA463" s="171"/>
    </row>
    <row r="464" spans="3:27" s="230" customFormat="1" hidden="1">
      <c r="C464" s="1202"/>
      <c r="D464" s="173" t="str">
        <f>IF(Indice_index!$Z$1=1,"julho","July")</f>
        <v>July</v>
      </c>
      <c r="E464" s="1164">
        <v>-23.3</v>
      </c>
      <c r="F464" s="1164">
        <v>-9.9</v>
      </c>
      <c r="G464" s="1164">
        <v>-16.2</v>
      </c>
      <c r="H464" s="1164">
        <v>-20.399999999999999</v>
      </c>
      <c r="I464" s="1164">
        <v>2.5</v>
      </c>
      <c r="J464" s="1164">
        <v>-25.5</v>
      </c>
      <c r="K464" s="1164">
        <v>2.2000000000000002</v>
      </c>
      <c r="L464" s="1164">
        <v>-7.8</v>
      </c>
      <c r="M464" s="172">
        <v>-21.1</v>
      </c>
      <c r="N464" s="1164">
        <v>5</v>
      </c>
      <c r="O464" s="1164">
        <v>-1.3</v>
      </c>
      <c r="P464" s="1164">
        <v>10.1</v>
      </c>
      <c r="X464" s="50"/>
      <c r="Y464" s="50"/>
      <c r="Z464" s="50"/>
      <c r="AA464" s="171"/>
    </row>
    <row r="465" spans="3:27" s="230" customFormat="1" hidden="1">
      <c r="C465" s="1202"/>
      <c r="D465" s="173" t="str">
        <f>IF(Indice_index!$Z$1=1,"agosto","August")</f>
        <v>August</v>
      </c>
      <c r="E465" s="1164">
        <v>-41.2</v>
      </c>
      <c r="F465" s="1164">
        <v>-19.600000000000001</v>
      </c>
      <c r="G465" s="1164">
        <v>4.0999999999999996</v>
      </c>
      <c r="H465" s="1164">
        <v>-26.4</v>
      </c>
      <c r="I465" s="1164">
        <v>19.8</v>
      </c>
      <c r="J465" s="1164">
        <v>-31.5</v>
      </c>
      <c r="K465" s="1164">
        <v>-13.5</v>
      </c>
      <c r="L465" s="1164">
        <v>14.3</v>
      </c>
      <c r="M465" s="172">
        <v>-22.9</v>
      </c>
      <c r="N465" s="1164">
        <v>15.2</v>
      </c>
      <c r="O465" s="1164">
        <v>15.7</v>
      </c>
      <c r="P465" s="1164">
        <v>9.6999999999999993</v>
      </c>
      <c r="X465" s="50"/>
      <c r="Y465" s="50"/>
      <c r="Z465" s="50"/>
      <c r="AA465" s="171"/>
    </row>
    <row r="466" spans="3:27" s="230" customFormat="1" hidden="1">
      <c r="C466" s="1202"/>
      <c r="D466" s="173" t="str">
        <f>IF(Indice_index!$Z$1=1,"setembro","September")</f>
        <v>September</v>
      </c>
      <c r="E466" s="1164">
        <v>-50.9</v>
      </c>
      <c r="F466" s="1164">
        <v>-35.9</v>
      </c>
      <c r="G466" s="1164">
        <v>-7.9</v>
      </c>
      <c r="H466" s="1164">
        <v>-39.6</v>
      </c>
      <c r="I466" s="1164">
        <v>16.3</v>
      </c>
      <c r="J466" s="1164">
        <v>-50</v>
      </c>
      <c r="K466" s="1164">
        <v>-20.5</v>
      </c>
      <c r="L466" s="1164">
        <v>1.7</v>
      </c>
      <c r="M466" s="172">
        <v>-42.5</v>
      </c>
      <c r="N466" s="1164">
        <v>27.2</v>
      </c>
      <c r="O466" s="1164">
        <v>3.4</v>
      </c>
      <c r="P466" s="1164">
        <v>10.4</v>
      </c>
      <c r="X466" s="50"/>
      <c r="Y466" s="50"/>
      <c r="Z466" s="50"/>
      <c r="AA466" s="171"/>
    </row>
    <row r="467" spans="3:27" s="230" customFormat="1" hidden="1">
      <c r="C467" s="1202"/>
      <c r="D467" s="173" t="str">
        <f>IF(Indice_index!$Z$1=1,"outubro","October")</f>
        <v>October</v>
      </c>
      <c r="E467" s="1164">
        <v>-34.1</v>
      </c>
      <c r="F467" s="1164">
        <v>-47.3</v>
      </c>
      <c r="G467" s="1164">
        <v>16.7</v>
      </c>
      <c r="H467" s="1164">
        <v>-22.5</v>
      </c>
      <c r="I467" s="1164">
        <v>1.1000000000000001</v>
      </c>
      <c r="J467" s="1164">
        <v>-27.2</v>
      </c>
      <c r="K467" s="1164">
        <v>-46.5</v>
      </c>
      <c r="L467" s="1164">
        <v>3.3</v>
      </c>
      <c r="M467" s="172">
        <v>-25.6</v>
      </c>
      <c r="N467" s="1164">
        <v>10</v>
      </c>
      <c r="O467" s="1164">
        <v>10</v>
      </c>
      <c r="P467" s="1164">
        <v>-11.5</v>
      </c>
      <c r="X467" s="50"/>
      <c r="Y467" s="50"/>
      <c r="Z467" s="50"/>
      <c r="AA467" s="171"/>
    </row>
    <row r="468" spans="3:27" s="230" customFormat="1" hidden="1">
      <c r="C468" s="1202"/>
      <c r="D468" s="173" t="str">
        <f>IF(Indice_index!$Z$1=1,"novembro","November")</f>
        <v>November</v>
      </c>
      <c r="E468" s="1164">
        <v>64</v>
      </c>
      <c r="F468" s="1164">
        <v>485.2</v>
      </c>
      <c r="G468" s="1164">
        <v>38.200000000000003</v>
      </c>
      <c r="H468" s="1164">
        <v>68.3</v>
      </c>
      <c r="I468" s="1164">
        <v>10.7</v>
      </c>
      <c r="J468" s="1164">
        <v>69.400000000000006</v>
      </c>
      <c r="K468" s="1164">
        <v>521.20000000000005</v>
      </c>
      <c r="L468" s="1164">
        <v>55.5</v>
      </c>
      <c r="M468" s="172">
        <v>81.900000000000006</v>
      </c>
      <c r="N468" s="1164">
        <v>14.7</v>
      </c>
      <c r="O468" s="1164">
        <v>1.1000000000000001</v>
      </c>
      <c r="P468" s="1164">
        <v>12.6</v>
      </c>
      <c r="X468" s="50"/>
      <c r="Y468" s="50"/>
      <c r="Z468" s="50"/>
      <c r="AA468" s="171"/>
    </row>
    <row r="469" spans="3:27" s="230" customFormat="1" hidden="1">
      <c r="C469" s="1202"/>
      <c r="D469" s="173" t="str">
        <f>IF(Indice_index!$Z$1=1,"dezembro","December")</f>
        <v>December</v>
      </c>
      <c r="E469" s="1164">
        <v>96.8</v>
      </c>
      <c r="F469" s="1164">
        <v>43.5</v>
      </c>
      <c r="G469" s="1164">
        <v>22.7</v>
      </c>
      <c r="H469" s="1164">
        <v>64.400000000000006</v>
      </c>
      <c r="I469" s="1164">
        <v>2.8</v>
      </c>
      <c r="J469" s="1164">
        <v>160.6</v>
      </c>
      <c r="K469" s="1164">
        <v>59.4</v>
      </c>
      <c r="L469" s="1164">
        <v>29.5</v>
      </c>
      <c r="M469" s="172">
        <v>129.19999999999999</v>
      </c>
      <c r="N469" s="1164">
        <v>-1.3</v>
      </c>
      <c r="O469" s="1164">
        <v>31.9</v>
      </c>
      <c r="P469" s="1164">
        <v>5.6</v>
      </c>
      <c r="X469" s="50"/>
      <c r="Y469" s="50"/>
      <c r="Z469" s="50"/>
      <c r="AA469" s="171"/>
    </row>
    <row r="470" spans="3:27" s="230" customFormat="1" hidden="1">
      <c r="C470" s="1200" t="s">
        <v>13</v>
      </c>
      <c r="D470" s="172"/>
      <c r="E470" s="1164"/>
      <c r="F470" s="1164"/>
      <c r="G470" s="1164"/>
      <c r="H470" s="1164"/>
      <c r="I470" s="1164"/>
      <c r="J470" s="1164"/>
      <c r="K470" s="1164"/>
      <c r="L470" s="1164"/>
      <c r="M470" s="172"/>
      <c r="N470" s="1164"/>
      <c r="O470" s="1164"/>
      <c r="P470" s="1164"/>
      <c r="X470" s="50"/>
      <c r="Y470" s="50"/>
      <c r="Z470" s="50"/>
      <c r="AA470" s="171"/>
    </row>
    <row r="471" spans="3:27" s="230" customFormat="1" hidden="1">
      <c r="C471" s="1202"/>
      <c r="D471" s="173" t="str">
        <f>IF(Indice_index!$Z$1=1,"janeiro","January")</f>
        <v>January</v>
      </c>
      <c r="E471" s="1164">
        <v>-3.2</v>
      </c>
      <c r="F471" s="1164">
        <v>66.5</v>
      </c>
      <c r="G471" s="1164">
        <v>-6.9</v>
      </c>
      <c r="H471" s="1164">
        <v>1</v>
      </c>
      <c r="I471" s="1164">
        <v>5.5</v>
      </c>
      <c r="J471" s="1164">
        <v>-10.7</v>
      </c>
      <c r="K471" s="1164">
        <v>50.7</v>
      </c>
      <c r="L471" s="1164">
        <v>-12.1</v>
      </c>
      <c r="M471" s="172">
        <v>-6.1</v>
      </c>
      <c r="N471" s="1164">
        <v>8.3000000000000007</v>
      </c>
      <c r="O471" s="1164">
        <v>-8.8000000000000007</v>
      </c>
      <c r="P471" s="1164">
        <v>-5.6</v>
      </c>
      <c r="X471" s="50"/>
      <c r="Y471" s="50"/>
      <c r="Z471" s="50"/>
      <c r="AA471" s="171"/>
    </row>
    <row r="472" spans="3:27" s="230" customFormat="1" hidden="1">
      <c r="C472" s="1202"/>
      <c r="D472" s="173" t="str">
        <f>IF(Indice_index!$Z$1=1,"fevereiro","February")</f>
        <v>February</v>
      </c>
      <c r="E472" s="1164">
        <v>1.5</v>
      </c>
      <c r="F472" s="1164">
        <v>-25.7</v>
      </c>
      <c r="G472" s="1164">
        <v>2.6</v>
      </c>
      <c r="H472" s="1164">
        <v>-0.6</v>
      </c>
      <c r="I472" s="1164">
        <v>18.7</v>
      </c>
      <c r="J472" s="1164">
        <v>-5.7</v>
      </c>
      <c r="K472" s="1164">
        <v>-11.9</v>
      </c>
      <c r="L472" s="1164">
        <v>9.1999999999999993</v>
      </c>
      <c r="M472" s="172">
        <v>-4.2</v>
      </c>
      <c r="N472" s="1164">
        <v>16.3</v>
      </c>
      <c r="O472" s="1164">
        <v>-4.5</v>
      </c>
      <c r="P472" s="1164">
        <v>6.5</v>
      </c>
      <c r="X472" s="50"/>
      <c r="Y472" s="50"/>
      <c r="Z472" s="50"/>
      <c r="AA472" s="171"/>
    </row>
    <row r="473" spans="3:27" s="230" customFormat="1" hidden="1">
      <c r="C473" s="1202"/>
      <c r="D473" s="173" t="str">
        <f>IF(Indice_index!$Z$1=1,"março","March")</f>
        <v>March</v>
      </c>
      <c r="E473" s="1164">
        <v>-6.7</v>
      </c>
      <c r="F473" s="1164">
        <v>-45.8</v>
      </c>
      <c r="G473" s="1164">
        <v>23.2</v>
      </c>
      <c r="H473" s="1164">
        <v>-1</v>
      </c>
      <c r="I473" s="1164">
        <v>0.7</v>
      </c>
      <c r="J473" s="1164">
        <v>1.8</v>
      </c>
      <c r="K473" s="1164">
        <v>-42.3</v>
      </c>
      <c r="L473" s="1164">
        <v>32.4</v>
      </c>
      <c r="M473" s="172">
        <v>2.9</v>
      </c>
      <c r="N473" s="1164">
        <v>7.7</v>
      </c>
      <c r="O473" s="1164">
        <v>9</v>
      </c>
      <c r="P473" s="1164">
        <v>7.5</v>
      </c>
      <c r="X473" s="50"/>
      <c r="Y473" s="50"/>
      <c r="Z473" s="50"/>
      <c r="AA473" s="171"/>
    </row>
    <row r="474" spans="3:27" s="230" customFormat="1" hidden="1">
      <c r="C474" s="1202"/>
      <c r="D474" s="173" t="str">
        <f>IF(Indice_index!$Z$1=1,"abril","April")</f>
        <v>April</v>
      </c>
      <c r="E474" s="1164">
        <v>-29.8</v>
      </c>
      <c r="F474" s="1164">
        <v>92.7</v>
      </c>
      <c r="G474" s="1164">
        <v>21.9</v>
      </c>
      <c r="H474" s="1164">
        <v>-9.3000000000000007</v>
      </c>
      <c r="I474" s="1164">
        <v>-1.8</v>
      </c>
      <c r="J474" s="1164">
        <v>-15.5</v>
      </c>
      <c r="K474" s="1164">
        <v>92.4</v>
      </c>
      <c r="L474" s="1164">
        <v>14.5</v>
      </c>
      <c r="M474" s="172">
        <v>-3.2</v>
      </c>
      <c r="N474" s="1164">
        <v>5.7</v>
      </c>
      <c r="O474" s="1164">
        <v>16.5</v>
      </c>
      <c r="P474" s="1164">
        <v>-6</v>
      </c>
      <c r="X474" s="50"/>
      <c r="Y474" s="50"/>
      <c r="Z474" s="50"/>
      <c r="AA474" s="171"/>
    </row>
    <row r="475" spans="3:27" s="230" customFormat="1" hidden="1">
      <c r="C475" s="1202"/>
      <c r="D475" s="173" t="str">
        <f>IF(Indice_index!$Z$1=1,"maio","May")</f>
        <v>May</v>
      </c>
      <c r="E475" s="1164">
        <v>-15.7</v>
      </c>
      <c r="F475" s="1164">
        <v>-41.7</v>
      </c>
      <c r="G475" s="1164">
        <v>-12.1</v>
      </c>
      <c r="H475" s="1164">
        <v>-16.7</v>
      </c>
      <c r="I475" s="1164">
        <v>-10</v>
      </c>
      <c r="J475" s="1164">
        <v>0.8</v>
      </c>
      <c r="K475" s="1164">
        <v>-42.1</v>
      </c>
      <c r="L475" s="1164">
        <v>-11.4</v>
      </c>
      <c r="M475" s="172">
        <v>-5</v>
      </c>
      <c r="N475" s="1164">
        <v>-3.9</v>
      </c>
      <c r="O475" s="1164">
        <v>17.600000000000001</v>
      </c>
      <c r="P475" s="1164">
        <v>0.8</v>
      </c>
      <c r="X475" s="50"/>
      <c r="Y475" s="50"/>
      <c r="Z475" s="50"/>
      <c r="AA475" s="171"/>
    </row>
    <row r="476" spans="3:27" s="230" customFormat="1" hidden="1">
      <c r="C476" s="1202"/>
      <c r="D476" s="173" t="str">
        <f>IF(Indice_index!$Z$1=1,"junho","June")</f>
        <v>June</v>
      </c>
      <c r="E476" s="1164">
        <v>13.7</v>
      </c>
      <c r="F476" s="1164">
        <v>-51.6</v>
      </c>
      <c r="G476" s="1164">
        <v>2.4</v>
      </c>
      <c r="H476" s="1164">
        <v>0.3</v>
      </c>
      <c r="I476" s="1164">
        <v>-3.8</v>
      </c>
      <c r="J476" s="1164">
        <v>10.199999999999999</v>
      </c>
      <c r="K476" s="1164">
        <v>-49</v>
      </c>
      <c r="L476" s="1164">
        <v>6.5</v>
      </c>
      <c r="M476" s="172">
        <v>-0.5</v>
      </c>
      <c r="N476" s="1164">
        <v>-1.6</v>
      </c>
      <c r="O476" s="1164">
        <v>-1.1000000000000001</v>
      </c>
      <c r="P476" s="1164">
        <v>4</v>
      </c>
      <c r="X476" s="50"/>
      <c r="Y476" s="50"/>
      <c r="Z476" s="50"/>
      <c r="AA476" s="171"/>
    </row>
    <row r="477" spans="3:27" s="230" customFormat="1" hidden="1">
      <c r="C477" s="1202"/>
      <c r="D477" s="173" t="str">
        <f>IF(Indice_index!$Z$1=1,"julho","July")</f>
        <v>July</v>
      </c>
      <c r="E477" s="1164">
        <v>48.062654575432809</v>
      </c>
      <c r="F477" s="1164">
        <v>-46.951219512195117</v>
      </c>
      <c r="G477" s="1164">
        <v>2441.199226305609</v>
      </c>
      <c r="H477" s="1164">
        <v>693.08342133051747</v>
      </c>
      <c r="I477" s="1164">
        <v>-1.9540229885057472</v>
      </c>
      <c r="J477" s="1164">
        <v>43.702225973332972</v>
      </c>
      <c r="K477" s="1164">
        <v>-53.782405155228375</v>
      </c>
      <c r="L477" s="1164">
        <v>887.03572526265975</v>
      </c>
      <c r="M477" s="172">
        <v>153.12099766206697</v>
      </c>
      <c r="N477" s="1164">
        <v>-2.6524096708472138</v>
      </c>
      <c r="O477" s="1164">
        <v>-3.6830256641152714</v>
      </c>
      <c r="P477" s="1164">
        <v>-61.169016963008382</v>
      </c>
      <c r="X477" s="50"/>
      <c r="Y477" s="50"/>
      <c r="Z477" s="50"/>
      <c r="AA477" s="171"/>
    </row>
    <row r="478" spans="3:27" s="230" customFormat="1" hidden="1">
      <c r="C478" s="1202"/>
      <c r="D478" s="173" t="str">
        <f>IF(Indice_index!$Z$1=1,"agosto","August")</f>
        <v>August</v>
      </c>
      <c r="E478" s="1164">
        <v>185.1</v>
      </c>
      <c r="F478" s="1164">
        <v>124.4</v>
      </c>
      <c r="G478" s="1164">
        <v>-1</v>
      </c>
      <c r="H478" s="1164">
        <v>102.9</v>
      </c>
      <c r="I478" s="1164">
        <v>2.6</v>
      </c>
      <c r="J478" s="1164">
        <v>50.8</v>
      </c>
      <c r="K478" s="1164">
        <v>74.8</v>
      </c>
      <c r="L478" s="1164">
        <v>3</v>
      </c>
      <c r="M478" s="172">
        <v>42</v>
      </c>
      <c r="N478" s="1164">
        <v>8.3000000000000007</v>
      </c>
      <c r="O478" s="1164">
        <v>-44.8</v>
      </c>
      <c r="P478" s="1164">
        <v>4.0999999999999996</v>
      </c>
      <c r="X478" s="50"/>
      <c r="Y478" s="50"/>
      <c r="Z478" s="50"/>
      <c r="AA478" s="171"/>
    </row>
    <row r="479" spans="3:27" s="230" customFormat="1" hidden="1">
      <c r="C479" s="1202"/>
      <c r="D479" s="173" t="str">
        <f>IF(Indice_index!$Z$1=1,"setembro","September")</f>
        <v>September</v>
      </c>
      <c r="E479" s="1164">
        <v>169.2</v>
      </c>
      <c r="F479" s="1164">
        <v>147.69999999999999</v>
      </c>
      <c r="G479" s="1164">
        <v>-4.5999999999999996</v>
      </c>
      <c r="H479" s="1164">
        <v>104.1</v>
      </c>
      <c r="I479" s="1164">
        <v>-17.100000000000001</v>
      </c>
      <c r="J479" s="1164">
        <v>54.2</v>
      </c>
      <c r="K479" s="1164">
        <v>93.8</v>
      </c>
      <c r="L479" s="1164">
        <v>-9.4</v>
      </c>
      <c r="M479" s="172">
        <v>45.3</v>
      </c>
      <c r="N479" s="1164">
        <v>-19.399999999999999</v>
      </c>
      <c r="O479" s="1164">
        <v>-40.6</v>
      </c>
      <c r="P479" s="1164">
        <v>-5.0999999999999996</v>
      </c>
      <c r="X479" s="50"/>
      <c r="Y479" s="50"/>
      <c r="Z479" s="50"/>
      <c r="AA479" s="171"/>
    </row>
    <row r="480" spans="3:27" s="230" customFormat="1" hidden="1">
      <c r="C480" s="1202"/>
      <c r="D480" s="173" t="str">
        <f>IF(Indice_index!$Z$1=1,"outubro","October")</f>
        <v>October</v>
      </c>
      <c r="E480" s="1164">
        <v>56.8</v>
      </c>
      <c r="F480" s="1164">
        <v>1</v>
      </c>
      <c r="G480" s="1164">
        <v>25.4</v>
      </c>
      <c r="H480" s="1164">
        <v>41.9</v>
      </c>
      <c r="I480" s="1164">
        <v>6.9</v>
      </c>
      <c r="J480" s="1164">
        <v>13.3</v>
      </c>
      <c r="K480" s="1164">
        <v>-14.1</v>
      </c>
      <c r="L480" s="1164">
        <v>39.299999999999997</v>
      </c>
      <c r="M480" s="172">
        <v>15.5</v>
      </c>
      <c r="N480" s="1164">
        <v>5.2</v>
      </c>
      <c r="O480" s="1164">
        <v>-26.7</v>
      </c>
      <c r="P480" s="1164">
        <v>11.1</v>
      </c>
      <c r="X480" s="50"/>
      <c r="Y480" s="50"/>
      <c r="Z480" s="50"/>
      <c r="AA480" s="171"/>
    </row>
    <row r="481" spans="3:27" s="230" customFormat="1" hidden="1">
      <c r="C481" s="1202"/>
      <c r="D481" s="173" t="str">
        <f>IF(Indice_index!$Z$1=1,"novembro","November")</f>
        <v>November</v>
      </c>
      <c r="E481" s="1164">
        <v>-11.3</v>
      </c>
      <c r="F481" s="1164">
        <v>-60.2</v>
      </c>
      <c r="G481" s="1164">
        <v>-10</v>
      </c>
      <c r="H481" s="1164">
        <v>-16.2</v>
      </c>
      <c r="I481" s="1164">
        <v>12.8</v>
      </c>
      <c r="J481" s="1164">
        <v>-29.5</v>
      </c>
      <c r="K481" s="1164">
        <v>-69.7</v>
      </c>
      <c r="L481" s="1164">
        <v>-13.7</v>
      </c>
      <c r="M481" s="172">
        <v>-32</v>
      </c>
      <c r="N481" s="1164">
        <v>7.6</v>
      </c>
      <c r="O481" s="1164">
        <v>-19.399999999999999</v>
      </c>
      <c r="P481" s="1164">
        <v>-4.0999999999999996</v>
      </c>
      <c r="X481" s="50"/>
      <c r="Y481" s="50"/>
      <c r="Z481" s="50"/>
      <c r="AA481" s="171"/>
    </row>
    <row r="482" spans="3:27" s="230" customFormat="1" hidden="1">
      <c r="C482" s="1202"/>
      <c r="D482" s="173" t="str">
        <f>IF(Indice_index!$Z$1=1,"dezembro","December")</f>
        <v>December</v>
      </c>
      <c r="E482" s="1164">
        <v>-21.3</v>
      </c>
      <c r="F482" s="1164">
        <v>-12.9</v>
      </c>
      <c r="G482" s="1164">
        <v>-23.2</v>
      </c>
      <c r="H482" s="1164">
        <v>-21.5</v>
      </c>
      <c r="I482" s="1164">
        <v>2.7</v>
      </c>
      <c r="J482" s="1164">
        <v>-45.2</v>
      </c>
      <c r="K482" s="1164">
        <v>-34.1</v>
      </c>
      <c r="L482" s="1164">
        <v>-23.6</v>
      </c>
      <c r="M482" s="172">
        <v>-42.3</v>
      </c>
      <c r="N482" s="1164">
        <v>8.8000000000000007</v>
      </c>
      <c r="O482" s="1164">
        <v>-30.2</v>
      </c>
      <c r="P482" s="1164">
        <v>-0.6</v>
      </c>
      <c r="X482" s="50"/>
      <c r="Y482" s="50"/>
      <c r="Z482" s="50"/>
      <c r="AA482" s="171"/>
    </row>
    <row r="483" spans="3:27" s="230" customFormat="1" hidden="1">
      <c r="C483" s="1203">
        <v>2015</v>
      </c>
      <c r="D483" s="172"/>
      <c r="E483" s="1164"/>
      <c r="F483" s="1164"/>
      <c r="G483" s="1164"/>
      <c r="H483" s="1164"/>
      <c r="I483" s="1164"/>
      <c r="J483" s="1164"/>
      <c r="K483" s="1164"/>
      <c r="L483" s="1164"/>
      <c r="M483" s="172"/>
      <c r="N483" s="1164"/>
      <c r="O483" s="1164"/>
      <c r="P483" s="1164"/>
      <c r="X483" s="50"/>
      <c r="Y483" s="50"/>
      <c r="Z483" s="50"/>
      <c r="AA483" s="171"/>
    </row>
    <row r="484" spans="3:27" s="230" customFormat="1" ht="11.25" hidden="1">
      <c r="C484" s="1202"/>
      <c r="D484" s="173" t="str">
        <f>IF(Indice_index!$Z$1=1,"janeiro","January")</f>
        <v>January</v>
      </c>
      <c r="E484" s="1164">
        <v>13.3</v>
      </c>
      <c r="F484" s="1164">
        <v>-54.4</v>
      </c>
      <c r="G484" s="1164">
        <v>4.5</v>
      </c>
      <c r="H484" s="1164">
        <v>3</v>
      </c>
      <c r="I484" s="1164">
        <v>3.8</v>
      </c>
      <c r="J484" s="1164">
        <v>12.3</v>
      </c>
      <c r="K484" s="1164">
        <v>-68</v>
      </c>
      <c r="L484" s="1164">
        <v>13.2</v>
      </c>
      <c r="M484" s="172">
        <v>2.4</v>
      </c>
      <c r="N484" s="1164">
        <v>4</v>
      </c>
      <c r="O484" s="1164">
        <v>-1.2</v>
      </c>
      <c r="P484" s="1164">
        <v>8.4</v>
      </c>
    </row>
    <row r="485" spans="3:27" s="230" customFormat="1" ht="11.25" hidden="1">
      <c r="C485" s="1202"/>
      <c r="D485" s="173" t="str">
        <f>IF(Indice_index!$Z$1=1,"fevereiro","February")</f>
        <v>February</v>
      </c>
      <c r="E485" s="1164">
        <v>12</v>
      </c>
      <c r="F485" s="1164">
        <v>-42</v>
      </c>
      <c r="G485" s="1164">
        <v>-29.1</v>
      </c>
      <c r="H485" s="1164">
        <v>-4.2</v>
      </c>
      <c r="I485" s="1164">
        <v>-4.4000000000000004</v>
      </c>
      <c r="J485" s="1164">
        <v>21.2</v>
      </c>
      <c r="K485" s="1164">
        <v>-55.1</v>
      </c>
      <c r="L485" s="1164">
        <v>-18.7</v>
      </c>
      <c r="M485" s="172">
        <v>7.8</v>
      </c>
      <c r="N485" s="1164">
        <v>-1.7</v>
      </c>
      <c r="O485" s="1164">
        <v>5.7</v>
      </c>
      <c r="P485" s="1164">
        <v>14.6</v>
      </c>
    </row>
    <row r="486" spans="3:27" s="230" customFormat="1" ht="11.25" hidden="1">
      <c r="C486" s="1202"/>
      <c r="D486" s="173" t="str">
        <f>IF(Indice_index!$Z$1=1,"março","March")</f>
        <v>March</v>
      </c>
      <c r="E486" s="1164">
        <v>18.7</v>
      </c>
      <c r="F486" s="1164">
        <v>53.2</v>
      </c>
      <c r="G486" s="1164">
        <v>-12.7</v>
      </c>
      <c r="H486" s="1164">
        <v>9.4</v>
      </c>
      <c r="I486" s="1164">
        <v>30.5</v>
      </c>
      <c r="J486" s="1164">
        <v>25.3</v>
      </c>
      <c r="K486" s="1164">
        <v>29.2</v>
      </c>
      <c r="L486" s="1164">
        <v>-11.1</v>
      </c>
      <c r="M486" s="172">
        <v>19.3</v>
      </c>
      <c r="N486" s="1164">
        <v>32.799999999999997</v>
      </c>
      <c r="O486" s="1164">
        <v>4.2</v>
      </c>
      <c r="P486" s="1164">
        <v>1.8</v>
      </c>
    </row>
    <row r="487" spans="3:27" s="230" customFormat="1" ht="11.25" hidden="1">
      <c r="C487" s="1202"/>
      <c r="D487" s="173" t="str">
        <f>IF(Indice_index!$Z$1=1,"abril","April")</f>
        <v>April</v>
      </c>
      <c r="E487" s="1164">
        <v>8.1</v>
      </c>
      <c r="F487" s="1164">
        <v>-36.1</v>
      </c>
      <c r="G487" s="1164">
        <v>16.399999999999999</v>
      </c>
      <c r="H487" s="1164">
        <v>4.8</v>
      </c>
      <c r="I487" s="1164">
        <v>28.5</v>
      </c>
      <c r="J487" s="1164">
        <v>7.5</v>
      </c>
      <c r="K487" s="1164">
        <v>-45.7</v>
      </c>
      <c r="L487" s="1164">
        <v>20.9</v>
      </c>
      <c r="M487" s="172">
        <v>1.7</v>
      </c>
      <c r="N487" s="1164">
        <v>22.7</v>
      </c>
      <c r="O487" s="1164">
        <v>-1.2</v>
      </c>
      <c r="P487" s="1164">
        <v>3.9</v>
      </c>
    </row>
    <row r="488" spans="3:27" s="230" customFormat="1" ht="11.25" hidden="1">
      <c r="C488" s="1202"/>
      <c r="D488" s="173" t="str">
        <f>IF(Indice_index!$Z$1=1,"maio","May")</f>
        <v>May</v>
      </c>
      <c r="E488" s="1164">
        <v>-11.5</v>
      </c>
      <c r="F488" s="1164">
        <v>7.1</v>
      </c>
      <c r="G488" s="1164">
        <v>324.3</v>
      </c>
      <c r="H488" s="1164">
        <v>82.2</v>
      </c>
      <c r="I488" s="1164">
        <v>16.399999999999999</v>
      </c>
      <c r="J488" s="1164">
        <v>-24.9</v>
      </c>
      <c r="K488" s="1164">
        <v>-10</v>
      </c>
      <c r="L488" s="1164">
        <v>105.5</v>
      </c>
      <c r="M488" s="172">
        <v>-7.2</v>
      </c>
      <c r="N488" s="1164">
        <v>12.2</v>
      </c>
      <c r="O488" s="1164">
        <v>-15.3</v>
      </c>
      <c r="P488" s="1164">
        <v>-51.6</v>
      </c>
    </row>
    <row r="489" spans="3:27" s="230" customFormat="1" ht="11.25" hidden="1">
      <c r="C489" s="1202"/>
      <c r="D489" s="173" t="str">
        <f>IF(Indice_index!$Z$1=1,"junho","June")</f>
        <v>June</v>
      </c>
      <c r="E489" s="1164">
        <v>-21.4</v>
      </c>
      <c r="F489" s="1164">
        <v>-1.6</v>
      </c>
      <c r="G489" s="1164">
        <v>-4.0999999999999996</v>
      </c>
      <c r="H489" s="1164">
        <v>-14.7</v>
      </c>
      <c r="I489" s="1164">
        <v>-6.5</v>
      </c>
      <c r="J489" s="1164">
        <v>-38.700000000000003</v>
      </c>
      <c r="K489" s="1164">
        <v>-27.8</v>
      </c>
      <c r="L489" s="1164">
        <v>-10.1</v>
      </c>
      <c r="M489" s="172">
        <v>-33.299999999999997</v>
      </c>
      <c r="N489" s="1164">
        <v>-6.8</v>
      </c>
      <c r="O489" s="1164">
        <v>-22.7</v>
      </c>
      <c r="P489" s="1164">
        <v>-6.3</v>
      </c>
    </row>
    <row r="490" spans="3:27" s="230" customFormat="1" ht="11.25" hidden="1">
      <c r="C490" s="1202"/>
      <c r="D490" s="173" t="str">
        <f>IF(Indice_index!$Z$1=1,"julho","July")</f>
        <v>July</v>
      </c>
      <c r="E490" s="1164">
        <v>-63</v>
      </c>
      <c r="F490" s="1164">
        <v>72.400000000000006</v>
      </c>
      <c r="G490" s="1164">
        <v>-93.9</v>
      </c>
      <c r="H490" s="1164">
        <v>-89.2</v>
      </c>
      <c r="I490" s="1164">
        <v>10.9</v>
      </c>
      <c r="J490" s="1164">
        <v>-58.5</v>
      </c>
      <c r="K490" s="1164">
        <v>89.4</v>
      </c>
      <c r="L490" s="1164">
        <v>-84.7</v>
      </c>
      <c r="M490" s="172">
        <v>-70.2</v>
      </c>
      <c r="N490" s="1164">
        <v>11.9</v>
      </c>
      <c r="O490" s="1164">
        <v>10.6</v>
      </c>
      <c r="P490" s="1164">
        <v>150.1</v>
      </c>
    </row>
    <row r="491" spans="3:27" s="230" customFormat="1" ht="11.25" hidden="1">
      <c r="C491" s="1202"/>
      <c r="D491" s="173" t="str">
        <f>IF(Indice_index!$Z$1=1,"agosto","August")</f>
        <v>August</v>
      </c>
      <c r="E491" s="1164">
        <v>-54.8</v>
      </c>
      <c r="F491" s="1164">
        <v>-36.799999999999997</v>
      </c>
      <c r="G491" s="1164">
        <v>-4.0999999999999996</v>
      </c>
      <c r="H491" s="1164">
        <v>-43.1</v>
      </c>
      <c r="I491" s="1164">
        <v>7.9</v>
      </c>
      <c r="J491" s="1164">
        <v>-59.1</v>
      </c>
      <c r="K491" s="1164">
        <v>-18.7</v>
      </c>
      <c r="L491" s="1164">
        <v>-11.1</v>
      </c>
      <c r="M491" s="172">
        <v>-46.5</v>
      </c>
      <c r="N491" s="1164">
        <v>2.2000000000000002</v>
      </c>
      <c r="O491" s="1164">
        <v>-1.2</v>
      </c>
      <c r="P491" s="1164">
        <v>-7.3</v>
      </c>
    </row>
    <row r="492" spans="3:27" s="230" customFormat="1" ht="11.25" hidden="1">
      <c r="C492" s="1202"/>
      <c r="D492" s="173" t="str">
        <f>IF(Indice_index!$Z$1=1,"setembro","September")</f>
        <v>September</v>
      </c>
      <c r="E492" s="1164">
        <v>-60.8</v>
      </c>
      <c r="F492" s="1164">
        <v>-31.9</v>
      </c>
      <c r="G492" s="1164">
        <v>32.200000000000003</v>
      </c>
      <c r="H492" s="1164">
        <v>-42.5</v>
      </c>
      <c r="I492" s="1164">
        <v>7.4</v>
      </c>
      <c r="J492" s="1164">
        <v>-40.200000000000003</v>
      </c>
      <c r="K492" s="1164">
        <v>-32.4</v>
      </c>
      <c r="L492" s="1164">
        <v>42.6</v>
      </c>
      <c r="M492" s="172">
        <v>-29.2</v>
      </c>
      <c r="N492" s="1164">
        <v>14.2</v>
      </c>
      <c r="O492" s="1164">
        <v>44.9</v>
      </c>
      <c r="P492" s="1164">
        <v>7.9</v>
      </c>
    </row>
    <row r="493" spans="3:27" s="230" customFormat="1" ht="11.25" hidden="1">
      <c r="C493" s="1202"/>
      <c r="D493" s="173" t="str">
        <f>IF(Indice_index!$Z$1=1,"outubro","October")</f>
        <v>October</v>
      </c>
      <c r="E493" s="1164">
        <v>-51.1</v>
      </c>
      <c r="F493" s="1164">
        <v>58</v>
      </c>
      <c r="G493" s="1164">
        <v>-35.6</v>
      </c>
      <c r="H493" s="1164">
        <v>-41.7</v>
      </c>
      <c r="I493" s="1164">
        <v>1.1000000000000001</v>
      </c>
      <c r="J493" s="1164">
        <v>-60</v>
      </c>
      <c r="K493" s="1164">
        <v>81.400000000000006</v>
      </c>
      <c r="L493" s="1164">
        <v>-33.799999999999997</v>
      </c>
      <c r="M493" s="172">
        <v>-48.8</v>
      </c>
      <c r="N493" s="1164">
        <v>-2.4</v>
      </c>
      <c r="O493" s="1164">
        <v>-13.1</v>
      </c>
      <c r="P493" s="1164">
        <v>2.8</v>
      </c>
    </row>
    <row r="494" spans="3:27" s="230" customFormat="1" ht="11.25" hidden="1">
      <c r="C494" s="1202"/>
      <c r="D494" s="173" t="str">
        <f>IF(Indice_index!$Z$1=1,"novembro","November")</f>
        <v>November</v>
      </c>
      <c r="E494" s="1164">
        <v>-64</v>
      </c>
      <c r="F494" s="1164">
        <v>-42.3</v>
      </c>
      <c r="G494" s="1164">
        <v>-8</v>
      </c>
      <c r="H494" s="1164">
        <v>-46.1</v>
      </c>
      <c r="I494" s="1164">
        <v>-3.9</v>
      </c>
      <c r="J494" s="1164">
        <v>-70.3</v>
      </c>
      <c r="K494" s="1164">
        <v>-42.6</v>
      </c>
      <c r="L494" s="1164">
        <v>-0.4</v>
      </c>
      <c r="M494" s="172">
        <v>-58.8</v>
      </c>
      <c r="N494" s="1164">
        <v>-3</v>
      </c>
      <c r="O494" s="1164">
        <v>-16.7</v>
      </c>
      <c r="P494" s="1164">
        <v>8.3000000000000007</v>
      </c>
    </row>
    <row r="495" spans="3:27" s="230" customFormat="1" ht="11.25" hidden="1">
      <c r="C495" s="1202"/>
      <c r="D495" s="173" t="str">
        <f>IF(Indice_index!$Z$1=1,"dezembro","December")</f>
        <v>December</v>
      </c>
      <c r="E495" s="1164">
        <v>-57.5</v>
      </c>
      <c r="F495" s="1164">
        <v>60.9</v>
      </c>
      <c r="G495" s="1164">
        <v>6.2</v>
      </c>
      <c r="H495" s="1164">
        <v>-33</v>
      </c>
      <c r="I495" s="1164">
        <v>-0.1</v>
      </c>
      <c r="J495" s="1164">
        <v>-64.900000000000006</v>
      </c>
      <c r="K495" s="1164">
        <v>118.7</v>
      </c>
      <c r="L495" s="1164">
        <v>1.7</v>
      </c>
      <c r="M495" s="172">
        <v>-47</v>
      </c>
      <c r="N495" s="1164">
        <v>-1.7</v>
      </c>
      <c r="O495" s="1164">
        <v>-12.2</v>
      </c>
      <c r="P495" s="1164">
        <v>-4.2</v>
      </c>
    </row>
    <row r="496" spans="3:27" s="230" customFormat="1" hidden="1">
      <c r="C496" s="1274">
        <v>2016</v>
      </c>
      <c r="D496" s="172"/>
      <c r="E496" s="1164"/>
      <c r="F496" s="1164"/>
      <c r="G496" s="1164"/>
      <c r="H496" s="1164"/>
      <c r="I496" s="1164"/>
      <c r="J496" s="1164"/>
      <c r="K496" s="1164"/>
      <c r="L496" s="1164"/>
      <c r="M496" s="172"/>
      <c r="N496" s="1164"/>
      <c r="O496" s="1164"/>
      <c r="P496" s="1164"/>
      <c r="X496" s="50"/>
      <c r="Y496" s="50"/>
      <c r="Z496" s="50"/>
      <c r="AA496" s="171"/>
    </row>
    <row r="497" spans="3:29" s="230" customFormat="1" hidden="1">
      <c r="C497" s="1202"/>
      <c r="D497" s="173" t="str">
        <f>IF(Indice_index!$Z$1=1,"janeiro","January")</f>
        <v>January</v>
      </c>
      <c r="E497" s="1164">
        <v>-67.2</v>
      </c>
      <c r="F497" s="1164">
        <v>-16.2</v>
      </c>
      <c r="G497" s="1164">
        <v>-9.1</v>
      </c>
      <c r="H497" s="1164">
        <v>-50.4</v>
      </c>
      <c r="I497" s="1164">
        <v>-2.5</v>
      </c>
      <c r="J497" s="1164">
        <v>-76.900000000000006</v>
      </c>
      <c r="K497" s="1164">
        <v>10.4</v>
      </c>
      <c r="L497" s="1164">
        <v>-4.4000000000000004</v>
      </c>
      <c r="M497" s="172">
        <v>-65.8</v>
      </c>
      <c r="N497" s="1164">
        <v>-1.1000000000000001</v>
      </c>
      <c r="O497" s="1164">
        <v>-26.2</v>
      </c>
      <c r="P497" s="1164">
        <v>5.0999999999999996</v>
      </c>
      <c r="X497" s="50"/>
      <c r="Y497" s="50"/>
      <c r="Z497" s="50"/>
      <c r="AA497" s="171"/>
    </row>
    <row r="498" spans="3:29" s="230" customFormat="1" hidden="1">
      <c r="C498" s="1202"/>
      <c r="D498" s="173" t="str">
        <f>IF(Indice_index!$Z$1=1,"fevereiro","February")</f>
        <v>February</v>
      </c>
      <c r="E498" s="1164">
        <v>-64.5</v>
      </c>
      <c r="F498" s="1164">
        <v>-13.8</v>
      </c>
      <c r="G498" s="1164">
        <v>14.3</v>
      </c>
      <c r="H498" s="1164">
        <v>-44.5</v>
      </c>
      <c r="I498" s="1164">
        <v>-8.9</v>
      </c>
      <c r="J498" s="1164">
        <v>-72.900000000000006</v>
      </c>
      <c r="K498" s="1164">
        <v>-2.9</v>
      </c>
      <c r="L498" s="1164">
        <v>-2.7</v>
      </c>
      <c r="M498" s="172">
        <v>-61.7</v>
      </c>
      <c r="N498" s="1164">
        <v>-8.4</v>
      </c>
      <c r="O498" s="1164">
        <v>-21.1</v>
      </c>
      <c r="P498" s="1164">
        <v>-14.9</v>
      </c>
      <c r="X498" s="50"/>
      <c r="Y498" s="50"/>
      <c r="Z498" s="50"/>
      <c r="AA498" s="171"/>
    </row>
    <row r="499" spans="3:29" s="230" customFormat="1" hidden="1">
      <c r="C499" s="1202"/>
      <c r="D499" s="173" t="str">
        <f>IF(Indice_index!$Z$1=1,"março","March")</f>
        <v>March</v>
      </c>
      <c r="E499" s="1164">
        <v>-60.1</v>
      </c>
      <c r="F499" s="1164">
        <v>20.3</v>
      </c>
      <c r="G499" s="1164">
        <v>-6.6</v>
      </c>
      <c r="H499" s="1164">
        <v>-42.5</v>
      </c>
      <c r="I499" s="1164">
        <v>-18.5</v>
      </c>
      <c r="J499" s="1164">
        <v>-69.599999999999994</v>
      </c>
      <c r="K499" s="1164">
        <v>32.799999999999997</v>
      </c>
      <c r="L499" s="1164">
        <v>-7.7</v>
      </c>
      <c r="M499" s="172">
        <v>-57.6</v>
      </c>
      <c r="N499" s="1164">
        <v>-18.3</v>
      </c>
      <c r="O499" s="1164">
        <v>-21.1</v>
      </c>
      <c r="P499" s="1164">
        <v>-1.2</v>
      </c>
      <c r="X499" s="50"/>
      <c r="Y499" s="50"/>
      <c r="Z499" s="50"/>
      <c r="AA499" s="171"/>
    </row>
    <row r="500" spans="3:29" s="230" customFormat="1" hidden="1">
      <c r="C500" s="1202"/>
      <c r="D500" s="173" t="str">
        <f>IF(Indice_index!$Z$1=1,"abril","April")</f>
        <v>April</v>
      </c>
      <c r="E500" s="1164">
        <v>-44.8</v>
      </c>
      <c r="F500" s="1164">
        <v>-33.5</v>
      </c>
      <c r="G500" s="1164">
        <v>-14.9</v>
      </c>
      <c r="H500" s="1164">
        <v>-33</v>
      </c>
      <c r="I500" s="1164">
        <v>-12.2</v>
      </c>
      <c r="J500" s="1164">
        <v>-62</v>
      </c>
      <c r="K500" s="1164">
        <v>-30.1</v>
      </c>
      <c r="L500" s="1164">
        <v>-14.2</v>
      </c>
      <c r="M500" s="172">
        <v>-50.3</v>
      </c>
      <c r="N500" s="1164">
        <v>-3.7</v>
      </c>
      <c r="O500" s="1164">
        <v>-27.4</v>
      </c>
      <c r="P500" s="1164">
        <v>0.9</v>
      </c>
      <c r="X500" s="50"/>
      <c r="Y500" s="50"/>
      <c r="Z500" s="50"/>
      <c r="AA500" s="171"/>
    </row>
    <row r="501" spans="3:29" s="230" customFormat="1" hidden="1">
      <c r="C501" s="1202"/>
      <c r="D501" s="173" t="str">
        <f>IF(Indice_index!$Z$1=1,"maio","May")</f>
        <v>May</v>
      </c>
      <c r="E501" s="1164">
        <v>-61.1</v>
      </c>
      <c r="F501" s="1164">
        <v>-5.9</v>
      </c>
      <c r="G501" s="1164">
        <v>-74.2</v>
      </c>
      <c r="H501" s="1164">
        <v>-67.8</v>
      </c>
      <c r="I501" s="1164">
        <v>6.6</v>
      </c>
      <c r="J501" s="1164">
        <v>-70</v>
      </c>
      <c r="K501" s="1164">
        <v>1.9</v>
      </c>
      <c r="L501" s="1164">
        <v>-46.2</v>
      </c>
      <c r="M501" s="172">
        <v>-59.1</v>
      </c>
      <c r="N501" s="1164">
        <v>10.199999999999999</v>
      </c>
      <c r="O501" s="1164">
        <v>-18.399999999999999</v>
      </c>
      <c r="P501" s="1164">
        <v>108.4</v>
      </c>
      <c r="X501" s="50"/>
      <c r="Y501" s="50"/>
      <c r="Z501" s="50"/>
      <c r="AA501" s="171"/>
    </row>
    <row r="502" spans="3:29" s="230" customFormat="1" hidden="1">
      <c r="C502" s="1202"/>
      <c r="D502" s="173" t="str">
        <f>IF(Indice_index!$Z$1=1,"junho","June")</f>
        <v>June</v>
      </c>
      <c r="E502" s="1164">
        <v>-50.7</v>
      </c>
      <c r="F502" s="1164">
        <v>-17.5</v>
      </c>
      <c r="G502" s="1164">
        <v>24.5</v>
      </c>
      <c r="H502" s="1164">
        <v>-22.1</v>
      </c>
      <c r="I502" s="1164">
        <v>14.6</v>
      </c>
      <c r="J502" s="1164">
        <v>-58.7</v>
      </c>
      <c r="K502" s="1164">
        <v>-11.1</v>
      </c>
      <c r="L502" s="1164">
        <v>34.6</v>
      </c>
      <c r="M502" s="1164">
        <v>-34.5</v>
      </c>
      <c r="N502" s="1164">
        <v>14.9</v>
      </c>
      <c r="O502" s="1164">
        <v>-12.3</v>
      </c>
      <c r="P502" s="1164">
        <v>8.1999999999999993</v>
      </c>
      <c r="X502" s="50"/>
      <c r="Y502" s="50"/>
      <c r="Z502" s="50"/>
      <c r="AA502" s="171"/>
    </row>
    <row r="503" spans="3:29" s="230" customFormat="1" hidden="1">
      <c r="C503" s="1202"/>
      <c r="D503" s="173" t="str">
        <f>IF(Indice_index!$Z$1=1,"julho","July")</f>
        <v>July</v>
      </c>
      <c r="E503" s="1164">
        <v>-26.5</v>
      </c>
      <c r="F503" s="1164">
        <v>14.7</v>
      </c>
      <c r="G503" s="1164">
        <v>-21.1</v>
      </c>
      <c r="H503" s="1164">
        <v>-20</v>
      </c>
      <c r="I503" s="1164">
        <v>1.2</v>
      </c>
      <c r="J503" s="1164">
        <v>-47.9</v>
      </c>
      <c r="K503" s="1164">
        <v>-2.4</v>
      </c>
      <c r="L503" s="1164">
        <v>-16.899999999999999</v>
      </c>
      <c r="M503" s="1164">
        <v>-33.6</v>
      </c>
      <c r="N503" s="1164">
        <v>3.8</v>
      </c>
      <c r="O503" s="1164">
        <v>-26.2</v>
      </c>
      <c r="P503" s="1164">
        <v>5.3</v>
      </c>
      <c r="X503" s="50"/>
      <c r="Y503" s="50"/>
      <c r="Z503" s="50"/>
      <c r="AA503" s="171"/>
    </row>
    <row r="504" spans="3:29" s="230" customFormat="1" hidden="1">
      <c r="C504" s="1202"/>
      <c r="D504" s="173" t="str">
        <f>IF(Indice_index!$Z$1=1,"agosto","August")</f>
        <v>August</v>
      </c>
      <c r="E504" s="1164">
        <v>-60.3</v>
      </c>
      <c r="F504" s="1164">
        <v>-7.2</v>
      </c>
      <c r="G504" s="1164">
        <v>-26.7</v>
      </c>
      <c r="H504" s="1164">
        <v>-44.4</v>
      </c>
      <c r="I504" s="1164">
        <v>-7.3</v>
      </c>
      <c r="J504" s="1164">
        <v>-39.4</v>
      </c>
      <c r="K504" s="1164">
        <v>-25.8</v>
      </c>
      <c r="L504" s="1164">
        <v>-26.8</v>
      </c>
      <c r="M504" s="1164">
        <v>-33.6</v>
      </c>
      <c r="N504" s="1164">
        <v>-0.3</v>
      </c>
      <c r="O504" s="1164">
        <v>37.9</v>
      </c>
      <c r="P504" s="1164">
        <v>0</v>
      </c>
      <c r="X504" s="50"/>
      <c r="Y504" s="50"/>
      <c r="Z504" s="50"/>
      <c r="AA504" s="171"/>
    </row>
    <row r="505" spans="3:29" s="230" customFormat="1" hidden="1">
      <c r="C505" s="1202"/>
      <c r="D505" s="173" t="str">
        <f>IF(Indice_index!$Z$1=1,"setembro","September")</f>
        <v>September</v>
      </c>
      <c r="E505" s="1164">
        <v>-42</v>
      </c>
      <c r="F505" s="1164">
        <v>7.1</v>
      </c>
      <c r="G505" s="1164">
        <v>-13.5</v>
      </c>
      <c r="H505" s="1164">
        <v>-26</v>
      </c>
      <c r="I505" s="1164">
        <v>1.4</v>
      </c>
      <c r="J505" s="1164">
        <v>-43.6</v>
      </c>
      <c r="K505" s="1164">
        <v>2.7</v>
      </c>
      <c r="L505" s="1164">
        <v>-14.1</v>
      </c>
      <c r="M505" s="1164">
        <v>-31.2</v>
      </c>
      <c r="N505" s="1164">
        <v>-1.1000000000000001</v>
      </c>
      <c r="O505" s="1164">
        <v>-4</v>
      </c>
      <c r="P505" s="1164">
        <v>-0.7</v>
      </c>
      <c r="X505" s="50"/>
      <c r="Y505" s="50"/>
      <c r="Z505" s="50"/>
      <c r="AA505" s="171"/>
    </row>
    <row r="506" spans="3:29" s="230" customFormat="1" hidden="1">
      <c r="C506" s="1202"/>
      <c r="D506" s="173" t="str">
        <f>IF(Indice_index!$Z$1=1,"outubro","October")</f>
        <v>October</v>
      </c>
      <c r="E506" s="1164">
        <v>-33.6</v>
      </c>
      <c r="F506" s="1164">
        <v>-7.6</v>
      </c>
      <c r="G506" s="1164">
        <v>-10.199999999999999</v>
      </c>
      <c r="H506" s="1164">
        <v>-22.3</v>
      </c>
      <c r="I506" s="1164">
        <v>10.5</v>
      </c>
      <c r="J506" s="1164">
        <v>-33</v>
      </c>
      <c r="K506" s="1164">
        <v>-28.7</v>
      </c>
      <c r="L506" s="1164">
        <v>-10.6</v>
      </c>
      <c r="M506" s="1164">
        <v>-27.1</v>
      </c>
      <c r="N506" s="1164">
        <v>14.1</v>
      </c>
      <c r="O506" s="1164">
        <v>-3.9</v>
      </c>
      <c r="P506" s="1164">
        <v>-0.4</v>
      </c>
      <c r="X506" s="50"/>
      <c r="Y506" s="50"/>
      <c r="Z506" s="50"/>
      <c r="AA506" s="171"/>
    </row>
    <row r="507" spans="3:29" s="172" customFormat="1" hidden="1">
      <c r="C507" s="1202"/>
      <c r="D507" s="173" t="str">
        <f>IF(Indice_index!$Z$1=1,"novembro","November")</f>
        <v>November</v>
      </c>
      <c r="E507" s="1164">
        <v>-30.3</v>
      </c>
      <c r="F507" s="1164">
        <v>-2.4</v>
      </c>
      <c r="G507" s="1164">
        <v>0.9</v>
      </c>
      <c r="H507" s="1164">
        <v>-12.8</v>
      </c>
      <c r="I507" s="1164">
        <v>-2.9</v>
      </c>
      <c r="J507" s="1164">
        <v>-39.700000000000003</v>
      </c>
      <c r="K507" s="1164">
        <v>-7.3</v>
      </c>
      <c r="L507" s="1164">
        <v>-4.3</v>
      </c>
      <c r="M507" s="1164">
        <v>-25.1</v>
      </c>
      <c r="N507" s="1164">
        <v>-3.8</v>
      </c>
      <c r="O507" s="1164">
        <v>-12.6</v>
      </c>
      <c r="P507" s="1164">
        <v>-5.2</v>
      </c>
      <c r="X507" s="162"/>
      <c r="Y507" s="162"/>
      <c r="Z507" s="162"/>
      <c r="AA507" s="173"/>
    </row>
    <row r="508" spans="3:29" s="172" customFormat="1" hidden="1">
      <c r="C508" s="1202"/>
      <c r="D508" s="173" t="str">
        <f>IF(Indice_index!$Z$1=1,"dezembro","December")</f>
        <v>December</v>
      </c>
      <c r="E508" s="1164">
        <v>-2</v>
      </c>
      <c r="F508" s="1164">
        <v>-5.4</v>
      </c>
      <c r="G508" s="1164">
        <v>-9.6</v>
      </c>
      <c r="H508" s="1164">
        <v>-5.9</v>
      </c>
      <c r="I508" s="1164">
        <v>8.3000000000000007</v>
      </c>
      <c r="J508" s="1164">
        <v>-1.3</v>
      </c>
      <c r="K508" s="1164">
        <v>-28.8</v>
      </c>
      <c r="L508" s="1164">
        <v>-5.6</v>
      </c>
      <c r="M508" s="1164">
        <v>-7.5</v>
      </c>
      <c r="N508" s="1164">
        <v>10.5</v>
      </c>
      <c r="O508" s="1164">
        <v>-5.7</v>
      </c>
      <c r="P508" s="1164">
        <v>4.5</v>
      </c>
      <c r="X508" s="162"/>
      <c r="Y508" s="162"/>
      <c r="Z508" s="162"/>
      <c r="AA508" s="173"/>
    </row>
    <row r="509" spans="3:29" s="230" customFormat="1" hidden="1">
      <c r="C509" s="1274">
        <v>2017</v>
      </c>
      <c r="D509" s="172"/>
      <c r="E509" s="1164"/>
      <c r="F509" s="1164"/>
      <c r="G509" s="1164"/>
      <c r="H509" s="1164"/>
      <c r="I509" s="1164"/>
      <c r="J509" s="1164"/>
      <c r="K509" s="1164"/>
      <c r="L509" s="1164"/>
      <c r="M509" s="172"/>
      <c r="N509" s="1164"/>
      <c r="O509" s="1164"/>
      <c r="P509" s="1164"/>
      <c r="X509" s="50"/>
      <c r="Y509" s="50"/>
      <c r="Z509" s="50"/>
      <c r="AA509" s="171"/>
    </row>
    <row r="510" spans="3:29" s="172" customFormat="1" ht="11.25" hidden="1">
      <c r="C510" s="1202"/>
      <c r="D510" s="173" t="str">
        <f>IF(Indice_index!$Z$1=1,"janeiro","January")</f>
        <v>January</v>
      </c>
      <c r="E510" s="1164">
        <v>35.299999999999997</v>
      </c>
      <c r="F510" s="1164">
        <v>22.8</v>
      </c>
      <c r="G510" s="1164">
        <v>7.6</v>
      </c>
      <c r="H510" s="1164">
        <v>21.9</v>
      </c>
      <c r="I510" s="1164">
        <v>8.8000000000000007</v>
      </c>
      <c r="J510" s="1164">
        <v>4</v>
      </c>
      <c r="K510" s="1164">
        <v>14.1</v>
      </c>
      <c r="L510" s="1164">
        <v>3.5</v>
      </c>
      <c r="M510" s="1164">
        <v>5.0999999999999996</v>
      </c>
      <c r="N510" s="1164">
        <v>4.8</v>
      </c>
      <c r="O510" s="1164">
        <v>-20.6</v>
      </c>
      <c r="P510" s="1164">
        <v>-3.9</v>
      </c>
      <c r="R510" s="230"/>
      <c r="S510" s="230"/>
      <c r="T510" s="230"/>
      <c r="U510" s="230"/>
      <c r="V510" s="230"/>
      <c r="W510" s="230"/>
      <c r="X510" s="230"/>
      <c r="Y510" s="230"/>
      <c r="Z510" s="230"/>
      <c r="AA510" s="230"/>
      <c r="AB510" s="230"/>
      <c r="AC510" s="230"/>
    </row>
    <row r="511" spans="3:29" s="172" customFormat="1" ht="11.25" hidden="1">
      <c r="C511" s="1202"/>
      <c r="D511" s="173" t="str">
        <f>IF(Indice_index!$Z$1=1,"fevereiro","February")</f>
        <v>February</v>
      </c>
      <c r="E511" s="1164">
        <v>-5.8</v>
      </c>
      <c r="F511" s="1164">
        <v>56.8</v>
      </c>
      <c r="G511" s="1164">
        <v>24.3</v>
      </c>
      <c r="H511" s="1164">
        <v>12.3</v>
      </c>
      <c r="I511" s="1164">
        <v>36.1</v>
      </c>
      <c r="J511" s="1164">
        <v>0.9</v>
      </c>
      <c r="K511" s="1164">
        <v>37.299999999999997</v>
      </c>
      <c r="L511" s="1164">
        <v>32.200000000000003</v>
      </c>
      <c r="M511" s="1164">
        <v>14.1</v>
      </c>
      <c r="N511" s="1164">
        <v>38</v>
      </c>
      <c r="O511" s="1164">
        <v>4.4000000000000004</v>
      </c>
      <c r="P511" s="1164">
        <v>6.3</v>
      </c>
      <c r="R511" s="230"/>
      <c r="S511" s="230"/>
      <c r="T511" s="230"/>
      <c r="U511" s="230"/>
      <c r="V511" s="230"/>
      <c r="W511" s="230"/>
      <c r="X511" s="230"/>
      <c r="Y511" s="230"/>
      <c r="Z511" s="230"/>
      <c r="AA511" s="230"/>
      <c r="AB511" s="230"/>
      <c r="AC511" s="230"/>
    </row>
    <row r="512" spans="3:29" s="172" customFormat="1" ht="11.25" hidden="1">
      <c r="C512" s="1202"/>
      <c r="D512" s="173" t="str">
        <f>IF(Indice_index!$Z$1=1,"março","March")</f>
        <v>March</v>
      </c>
      <c r="E512" s="1164">
        <v>-49.7</v>
      </c>
      <c r="F512" s="1164">
        <v>4.2</v>
      </c>
      <c r="G512" s="1164">
        <v>35.6</v>
      </c>
      <c r="H512" s="1164">
        <v>-8.1999999999999993</v>
      </c>
      <c r="I512" s="1164">
        <v>17.5</v>
      </c>
      <c r="J512" s="1164">
        <v>-48</v>
      </c>
      <c r="K512" s="1164">
        <v>-2</v>
      </c>
      <c r="L512" s="1164">
        <v>32.299999999999997</v>
      </c>
      <c r="M512" s="1164">
        <v>-20</v>
      </c>
      <c r="N512" s="1164">
        <v>16.3</v>
      </c>
      <c r="O512" s="1164">
        <v>2.1</v>
      </c>
      <c r="P512" s="1164">
        <v>-2.4</v>
      </c>
      <c r="R512" s="230"/>
      <c r="S512" s="230"/>
      <c r="T512" s="230"/>
      <c r="U512" s="230"/>
      <c r="V512" s="230"/>
      <c r="W512" s="230"/>
      <c r="X512" s="230"/>
      <c r="Y512" s="230"/>
      <c r="Z512" s="230"/>
      <c r="AA512" s="230"/>
      <c r="AB512" s="230"/>
      <c r="AC512" s="230"/>
    </row>
    <row r="513" spans="3:29" s="230" customFormat="1" ht="11.25" hidden="1">
      <c r="C513" s="1202"/>
      <c r="D513" s="173" t="str">
        <f>IF(Indice_index!$Z$1=1,"abril","April")</f>
        <v>April</v>
      </c>
      <c r="E513" s="1164">
        <v>-32</v>
      </c>
      <c r="F513" s="1164">
        <v>8.3000000000000007</v>
      </c>
      <c r="G513" s="1164">
        <v>1.2</v>
      </c>
      <c r="H513" s="1164">
        <v>-13.3</v>
      </c>
      <c r="I513" s="1164">
        <v>5.5</v>
      </c>
      <c r="J513" s="1164">
        <v>-8.5</v>
      </c>
      <c r="K513" s="1164">
        <v>-1.7</v>
      </c>
      <c r="L513" s="1164">
        <v>3</v>
      </c>
      <c r="M513" s="1164">
        <v>-3.9</v>
      </c>
      <c r="N513" s="1164">
        <v>2.1</v>
      </c>
      <c r="O513" s="1164">
        <v>24.9</v>
      </c>
      <c r="P513" s="1164">
        <v>1.7</v>
      </c>
    </row>
    <row r="514" spans="3:29" s="230" customFormat="1" ht="11.25" hidden="1">
      <c r="C514" s="1202"/>
      <c r="D514" s="173" t="str">
        <f>IF(Indice_index!$Z$1=1,"maio","May")</f>
        <v>May</v>
      </c>
      <c r="E514" s="1164">
        <v>45.7</v>
      </c>
      <c r="F514" s="1164">
        <v>7.9</v>
      </c>
      <c r="G514" s="1164">
        <v>-5.7</v>
      </c>
      <c r="H514" s="1164">
        <v>15.8</v>
      </c>
      <c r="I514" s="1164">
        <v>-15.6</v>
      </c>
      <c r="J514" s="1164">
        <v>151.80000000000001</v>
      </c>
      <c r="K514" s="1164">
        <v>8.6</v>
      </c>
      <c r="L514" s="1164">
        <v>-1</v>
      </c>
      <c r="M514" s="1164">
        <v>74.2</v>
      </c>
      <c r="N514" s="1164">
        <v>-17.3</v>
      </c>
      <c r="O514" s="1164">
        <v>58.4</v>
      </c>
      <c r="P514" s="1164">
        <v>4.9000000000000004</v>
      </c>
    </row>
    <row r="515" spans="3:29" s="230" customFormat="1" ht="11.25" hidden="1">
      <c r="C515" s="1202"/>
      <c r="D515" s="173" t="str">
        <f>IF(Indice_index!$Z$1=1,"junho","June")</f>
        <v>June</v>
      </c>
      <c r="E515" s="1164">
        <v>73.900000000000006</v>
      </c>
      <c r="F515" s="1164">
        <v>-6</v>
      </c>
      <c r="G515" s="1164">
        <v>-8.6</v>
      </c>
      <c r="H515" s="1164">
        <v>21.6</v>
      </c>
      <c r="I515" s="1164">
        <v>-3.2</v>
      </c>
      <c r="J515" s="1164">
        <v>153.9</v>
      </c>
      <c r="K515" s="1164">
        <v>19</v>
      </c>
      <c r="L515" s="1164">
        <v>-6.8</v>
      </c>
      <c r="M515" s="1164">
        <v>66.900000000000006</v>
      </c>
      <c r="N515" s="1164">
        <v>-0.3</v>
      </c>
      <c r="O515" s="1164">
        <v>41.3</v>
      </c>
      <c r="P515" s="1164">
        <v>2</v>
      </c>
    </row>
    <row r="516" spans="3:29" s="230" customFormat="1" ht="11.25" hidden="1">
      <c r="C516" s="1202"/>
      <c r="D516" s="173" t="str">
        <f>IF(Indice_index!$Z$1=1,"julho","July")</f>
        <v>July</v>
      </c>
      <c r="E516" s="1164">
        <v>183.6</v>
      </c>
      <c r="F516" s="1164">
        <v>-3.5</v>
      </c>
      <c r="G516" s="1164">
        <v>-12</v>
      </c>
      <c r="H516" s="1164">
        <v>63.1</v>
      </c>
      <c r="I516" s="1164">
        <v>3.2</v>
      </c>
      <c r="J516" s="1164">
        <v>275.2</v>
      </c>
      <c r="K516" s="1164">
        <v>-0.9</v>
      </c>
      <c r="L516" s="1164">
        <v>-4.5</v>
      </c>
      <c r="M516" s="1164">
        <v>126.4</v>
      </c>
      <c r="N516" s="1164">
        <v>0.3</v>
      </c>
      <c r="O516" s="1164">
        <v>27</v>
      </c>
      <c r="P516" s="1164">
        <v>8.5</v>
      </c>
    </row>
    <row r="517" spans="3:29" s="230" customFormat="1" ht="11.25" hidden="1">
      <c r="C517" s="1202"/>
      <c r="D517" s="173" t="str">
        <f>IF(Indice_index!$Z$1=1,"agosto","August")</f>
        <v>August</v>
      </c>
      <c r="E517" s="1164">
        <v>153.9</v>
      </c>
      <c r="F517" s="1164">
        <v>-32.299999999999997</v>
      </c>
      <c r="G517" s="1164">
        <v>1.4</v>
      </c>
      <c r="H517" s="1164">
        <v>59.2</v>
      </c>
      <c r="I517" s="1164">
        <v>9.1999999999999993</v>
      </c>
      <c r="J517" s="1164">
        <v>201.8</v>
      </c>
      <c r="K517" s="1164">
        <v>-24.7</v>
      </c>
      <c r="L517" s="1164">
        <v>9.9</v>
      </c>
      <c r="M517" s="1164">
        <v>99.5</v>
      </c>
      <c r="N517" s="1164">
        <v>-7.5</v>
      </c>
      <c r="O517" s="1164">
        <v>15.3</v>
      </c>
      <c r="P517" s="1164">
        <v>8.3000000000000007</v>
      </c>
    </row>
    <row r="518" spans="3:29" s="172" customFormat="1" ht="11.25" hidden="1">
      <c r="C518" s="1202"/>
      <c r="D518" s="173" t="str">
        <f>IF(Indice_index!$Z$1=1,"setembro","September")</f>
        <v>September</v>
      </c>
      <c r="E518" s="1164">
        <v>66.7</v>
      </c>
      <c r="F518" s="1164">
        <v>-8.6</v>
      </c>
      <c r="G518" s="1164">
        <v>0.2</v>
      </c>
      <c r="H518" s="1164">
        <v>25.5</v>
      </c>
      <c r="I518" s="1164">
        <v>-4.2</v>
      </c>
      <c r="J518" s="1164">
        <v>136.30000000000001</v>
      </c>
      <c r="K518" s="1164">
        <v>-0.9</v>
      </c>
      <c r="L518" s="1164">
        <v>-4.7</v>
      </c>
      <c r="M518" s="1164">
        <v>70.3</v>
      </c>
      <c r="N518" s="1164">
        <v>-2.6</v>
      </c>
      <c r="O518" s="1164">
        <v>38.200000000000003</v>
      </c>
      <c r="P518" s="1164">
        <v>-4.8</v>
      </c>
      <c r="R518" s="230"/>
      <c r="S518" s="230"/>
      <c r="T518" s="230"/>
      <c r="U518" s="230"/>
      <c r="V518" s="230"/>
      <c r="W518" s="230"/>
      <c r="X518" s="230"/>
      <c r="Y518" s="230"/>
      <c r="Z518" s="230"/>
      <c r="AA518" s="230"/>
      <c r="AB518" s="230"/>
      <c r="AC518" s="230"/>
    </row>
    <row r="519" spans="3:29" s="172" customFormat="1" ht="11.25" hidden="1">
      <c r="C519" s="1202"/>
      <c r="D519" s="173" t="str">
        <f>IF(Indice_index!$Z$1=1,"outubro","October")</f>
        <v>October</v>
      </c>
      <c r="E519" s="1164">
        <v>93.3</v>
      </c>
      <c r="F519" s="1164">
        <v>-54.1</v>
      </c>
      <c r="G519" s="1164">
        <v>718.7</v>
      </c>
      <c r="H519" s="1164">
        <v>339.5</v>
      </c>
      <c r="I519" s="1164">
        <v>-6.3</v>
      </c>
      <c r="J519" s="1164">
        <v>164.7</v>
      </c>
      <c r="K519" s="1164">
        <v>-41.9</v>
      </c>
      <c r="L519" s="1164">
        <v>260.2</v>
      </c>
      <c r="M519" s="1164">
        <v>158.6</v>
      </c>
      <c r="N519" s="1164">
        <v>-3.3</v>
      </c>
      <c r="O519" s="1164">
        <v>35.5</v>
      </c>
      <c r="P519" s="1164">
        <v>-56</v>
      </c>
      <c r="R519" s="230"/>
      <c r="S519" s="230"/>
      <c r="T519" s="230"/>
      <c r="U519" s="230"/>
      <c r="V519" s="230"/>
      <c r="W519" s="230"/>
      <c r="X519" s="230"/>
      <c r="Y519" s="230"/>
      <c r="Z519" s="230"/>
      <c r="AA519" s="230"/>
      <c r="AB519" s="230"/>
      <c r="AC519" s="230"/>
    </row>
    <row r="520" spans="3:29" s="172" customFormat="1" ht="11.25" hidden="1">
      <c r="C520" s="1202"/>
      <c r="D520" s="173" t="str">
        <f>IF(Indice_index!$Z$1=1,"novembro","November")</f>
        <v>November</v>
      </c>
      <c r="E520" s="1164">
        <v>157.80000000000001</v>
      </c>
      <c r="F520" s="1164">
        <v>101.3</v>
      </c>
      <c r="G520" s="1164">
        <v>-7.4</v>
      </c>
      <c r="H520" s="1164">
        <v>56.3</v>
      </c>
      <c r="I520" s="1164">
        <v>3.5</v>
      </c>
      <c r="J520" s="1164">
        <v>362.3</v>
      </c>
      <c r="K520" s="1164">
        <v>113.8</v>
      </c>
      <c r="L520" s="1164">
        <v>-7.5</v>
      </c>
      <c r="M520" s="1164">
        <v>176</v>
      </c>
      <c r="N520" s="1164">
        <v>16.5</v>
      </c>
      <c r="O520" s="1164">
        <v>70.400000000000006</v>
      </c>
      <c r="P520" s="1164">
        <v>-0.2</v>
      </c>
      <c r="R520" s="230"/>
      <c r="S520" s="230"/>
      <c r="T520" s="230"/>
      <c r="U520" s="230"/>
      <c r="V520" s="230"/>
      <c r="W520" s="230"/>
      <c r="X520" s="230"/>
      <c r="Y520" s="230"/>
      <c r="Z520" s="230"/>
      <c r="AA520" s="230"/>
      <c r="AB520" s="230"/>
      <c r="AC520" s="230"/>
    </row>
    <row r="521" spans="3:29" s="172" customFormat="1" ht="11.25" hidden="1">
      <c r="C521" s="1202"/>
      <c r="D521" s="173" t="str">
        <f>IF(Indice_index!$Z$1=1,"dezembro","December")</f>
        <v>December</v>
      </c>
      <c r="E521" s="1164">
        <v>10.1</v>
      </c>
      <c r="F521" s="1164">
        <v>5.0999999999999996</v>
      </c>
      <c r="G521" s="1164">
        <v>30.9</v>
      </c>
      <c r="H521" s="1164">
        <v>18.8</v>
      </c>
      <c r="I521" s="1164">
        <v>7</v>
      </c>
      <c r="J521" s="1164">
        <v>25.3</v>
      </c>
      <c r="K521" s="1164">
        <v>-2.6</v>
      </c>
      <c r="L521" s="1164">
        <v>39.200000000000003</v>
      </c>
      <c r="M521" s="1164">
        <v>25.4</v>
      </c>
      <c r="N521" s="1164">
        <v>4.7</v>
      </c>
      <c r="O521" s="1164">
        <v>9.9</v>
      </c>
      <c r="P521" s="1164">
        <v>6.3</v>
      </c>
      <c r="R521" s="230"/>
      <c r="S521" s="230"/>
      <c r="T521" s="230"/>
      <c r="U521" s="230"/>
      <c r="V521" s="230"/>
      <c r="W521" s="230"/>
      <c r="X521" s="230"/>
      <c r="Y521" s="230"/>
      <c r="Z521" s="230"/>
      <c r="AA521" s="230"/>
      <c r="AB521" s="230"/>
      <c r="AC521" s="230"/>
    </row>
    <row r="522" spans="3:29" s="230" customFormat="1" ht="15" hidden="1" customHeight="1">
      <c r="C522" s="1274">
        <v>2018</v>
      </c>
      <c r="D522" s="172"/>
      <c r="E522" s="1164"/>
      <c r="F522" s="1164"/>
      <c r="G522" s="1164"/>
      <c r="H522" s="1164"/>
      <c r="I522" s="1164"/>
      <c r="J522" s="1164"/>
      <c r="K522" s="1164"/>
      <c r="L522" s="1164"/>
      <c r="M522" s="172"/>
      <c r="N522" s="1164"/>
      <c r="O522" s="1164"/>
      <c r="P522" s="1164"/>
      <c r="X522" s="50"/>
      <c r="Y522" s="50"/>
      <c r="Z522" s="50"/>
      <c r="AA522" s="171"/>
    </row>
    <row r="523" spans="3:29" s="172" customFormat="1" ht="15" hidden="1" customHeight="1">
      <c r="C523" s="1202"/>
      <c r="D523" s="173" t="str">
        <f>IF(Indice_index!$Z$1=1,"janeiro","January")</f>
        <v>January</v>
      </c>
      <c r="E523" s="230">
        <v>-10.4</v>
      </c>
      <c r="F523" s="230">
        <v>-10.7</v>
      </c>
      <c r="G523" s="230">
        <v>-6.1</v>
      </c>
      <c r="H523" s="230">
        <v>-8.8000000000000007</v>
      </c>
      <c r="I523" s="230">
        <v>0.5</v>
      </c>
      <c r="J523" s="230">
        <v>12.3</v>
      </c>
      <c r="K523" s="230">
        <v>-14.2</v>
      </c>
      <c r="L523" s="230">
        <v>-2.2999999999999998</v>
      </c>
      <c r="M523" s="230">
        <v>4.4000000000000004</v>
      </c>
      <c r="N523" s="230">
        <v>0.5</v>
      </c>
      <c r="O523" s="230">
        <v>19.7</v>
      </c>
      <c r="P523" s="230">
        <v>4</v>
      </c>
      <c r="R523" s="231"/>
      <c r="S523" s="231"/>
      <c r="T523" s="231"/>
      <c r="U523" s="231"/>
      <c r="V523" s="231"/>
      <c r="W523" s="231"/>
      <c r="X523" s="231"/>
      <c r="Y523" s="231"/>
      <c r="Z523" s="231"/>
      <c r="AA523" s="231"/>
      <c r="AB523" s="231"/>
      <c r="AC523" s="231"/>
    </row>
    <row r="524" spans="3:29" s="172" customFormat="1" ht="15" hidden="1" customHeight="1">
      <c r="C524" s="1202"/>
      <c r="D524" s="173" t="str">
        <f>IF(Indice_index!$Z$1=1,"fevereiro","February")</f>
        <v>February</v>
      </c>
      <c r="E524" s="230">
        <v>28.4</v>
      </c>
      <c r="F524" s="230">
        <v>-35.4</v>
      </c>
      <c r="G524" s="230">
        <v>-10.4</v>
      </c>
      <c r="H524" s="230">
        <v>2.7</v>
      </c>
      <c r="I524" s="230">
        <v>-11.1</v>
      </c>
      <c r="J524" s="230">
        <v>69.099999999999994</v>
      </c>
      <c r="K524" s="230">
        <v>-29.4</v>
      </c>
      <c r="L524" s="230">
        <v>-9.6999999999999993</v>
      </c>
      <c r="M524" s="230">
        <v>29.5</v>
      </c>
      <c r="N524" s="230">
        <v>-10.199999999999999</v>
      </c>
      <c r="O524" s="230">
        <v>29.5</v>
      </c>
      <c r="P524" s="230">
        <v>0.8</v>
      </c>
      <c r="R524" s="231"/>
      <c r="S524" s="231"/>
      <c r="T524" s="231"/>
      <c r="U524" s="231"/>
      <c r="V524" s="231"/>
      <c r="W524" s="231"/>
      <c r="X524" s="231"/>
      <c r="Y524" s="231"/>
      <c r="Z524" s="231"/>
      <c r="AA524" s="231"/>
      <c r="AB524" s="231"/>
      <c r="AC524" s="231"/>
    </row>
    <row r="525" spans="3:29" s="172" customFormat="1" ht="15" hidden="1" customHeight="1">
      <c r="C525" s="1202"/>
      <c r="D525" s="173" t="str">
        <f>IF(Indice_index!$Z$1=1,"março","March")</f>
        <v>March</v>
      </c>
      <c r="E525" s="230">
        <v>79.400000000000006</v>
      </c>
      <c r="F525" s="230">
        <v>14.9</v>
      </c>
      <c r="G525" s="230">
        <v>-32.5</v>
      </c>
      <c r="H525" s="230">
        <v>1.9</v>
      </c>
      <c r="I525" s="230">
        <v>-4.5999999999999996</v>
      </c>
      <c r="J525" s="230">
        <v>129.9</v>
      </c>
      <c r="K525" s="230">
        <v>0.7</v>
      </c>
      <c r="L525" s="230">
        <v>-27.4</v>
      </c>
      <c r="M525" s="230">
        <v>38.1</v>
      </c>
      <c r="N525" s="230">
        <v>-1.8</v>
      </c>
      <c r="O525" s="230">
        <v>19.5</v>
      </c>
      <c r="P525" s="230">
        <v>7.6</v>
      </c>
      <c r="R525" s="231"/>
      <c r="S525" s="231"/>
      <c r="T525" s="231"/>
      <c r="U525" s="231"/>
      <c r="V525" s="231"/>
      <c r="W525" s="231"/>
      <c r="X525" s="231"/>
      <c r="Y525" s="231"/>
      <c r="Z525" s="231"/>
      <c r="AA525" s="231"/>
      <c r="AB525" s="231"/>
      <c r="AC525" s="231"/>
    </row>
    <row r="526" spans="3:29" s="230" customFormat="1" ht="15" hidden="1" customHeight="1">
      <c r="C526" s="1202"/>
      <c r="D526" s="173" t="str">
        <f>IF(Indice_index!$Z$1=1,"abril","April")</f>
        <v>April</v>
      </c>
      <c r="E526" s="230">
        <v>22.4</v>
      </c>
      <c r="F526" s="230">
        <v>-22.9</v>
      </c>
      <c r="G526" s="230">
        <v>-19</v>
      </c>
      <c r="H526" s="230">
        <v>-4.7</v>
      </c>
      <c r="I526" s="230">
        <v>22.1</v>
      </c>
      <c r="J526" s="230">
        <v>35.5</v>
      </c>
      <c r="K526" s="230">
        <v>-8.3000000000000007</v>
      </c>
      <c r="L526" s="230">
        <v>-23.3</v>
      </c>
      <c r="M526" s="230">
        <v>9.6</v>
      </c>
      <c r="N526" s="230">
        <v>24</v>
      </c>
      <c r="O526" s="230">
        <v>13.8</v>
      </c>
      <c r="P526" s="230">
        <v>-5.3</v>
      </c>
      <c r="R526" s="231"/>
      <c r="S526" s="231"/>
      <c r="T526" s="231"/>
      <c r="U526" s="231"/>
      <c r="V526" s="231"/>
      <c r="W526" s="231"/>
      <c r="X526" s="231"/>
      <c r="Y526" s="231"/>
      <c r="Z526" s="231"/>
      <c r="AA526" s="231"/>
      <c r="AB526" s="231"/>
      <c r="AC526" s="231"/>
    </row>
    <row r="527" spans="3:29" s="230" customFormat="1" ht="15" hidden="1" customHeight="1">
      <c r="C527" s="1202"/>
      <c r="D527" s="173" t="str">
        <f>IF(Indice_index!$Z$1=1,"maio","May")</f>
        <v>May</v>
      </c>
      <c r="E527" s="230">
        <v>22</v>
      </c>
      <c r="F527" s="230">
        <v>0</v>
      </c>
      <c r="G527" s="230">
        <v>-2.2000000000000002</v>
      </c>
      <c r="H527" s="230">
        <v>9.9</v>
      </c>
      <c r="I527" s="230">
        <v>3.1</v>
      </c>
      <c r="J527" s="230">
        <v>20.8</v>
      </c>
      <c r="K527" s="230">
        <v>-2.4</v>
      </c>
      <c r="L527" s="230">
        <v>5.8</v>
      </c>
      <c r="M527" s="230">
        <v>15.6</v>
      </c>
      <c r="N527" s="230">
        <v>7</v>
      </c>
      <c r="O527" s="230">
        <v>-0.4</v>
      </c>
      <c r="P527" s="230">
        <v>8.3000000000000007</v>
      </c>
      <c r="R527" s="231"/>
      <c r="S527" s="231"/>
      <c r="T527" s="231"/>
      <c r="U527" s="231"/>
      <c r="V527" s="231"/>
      <c r="W527" s="231"/>
      <c r="X527" s="231"/>
      <c r="Y527" s="231"/>
      <c r="Z527" s="231"/>
      <c r="AA527" s="231"/>
      <c r="AB527" s="231"/>
      <c r="AC527" s="231"/>
    </row>
    <row r="528" spans="3:29" s="230" customFormat="1" ht="15" hidden="1" customHeight="1">
      <c r="C528" s="1202"/>
      <c r="D528" s="173" t="str">
        <f>IF(Indice_index!$Z$1=1,"junho","June")</f>
        <v>June</v>
      </c>
      <c r="E528" s="230">
        <v>-31.3</v>
      </c>
      <c r="F528" s="230">
        <v>-14.1</v>
      </c>
      <c r="G528" s="230">
        <v>-26.7</v>
      </c>
      <c r="H528" s="230">
        <v>-28.2</v>
      </c>
      <c r="I528" s="230">
        <v>12.4</v>
      </c>
      <c r="J528" s="230">
        <v>-10.199999999999999</v>
      </c>
      <c r="K528" s="230">
        <v>-31.4</v>
      </c>
      <c r="L528" s="230">
        <v>-73.8</v>
      </c>
      <c r="M528" s="230">
        <v>-15.2</v>
      </c>
      <c r="N528" s="230">
        <v>17.600000000000001</v>
      </c>
      <c r="O528" s="230">
        <v>23.3</v>
      </c>
      <c r="P528" s="230">
        <v>5.0999999999999996</v>
      </c>
      <c r="R528" s="231"/>
      <c r="S528" s="231"/>
      <c r="T528" s="231"/>
      <c r="U528" s="231"/>
      <c r="V528" s="231"/>
      <c r="W528" s="231"/>
      <c r="X528" s="231"/>
      <c r="Y528" s="231"/>
      <c r="Z528" s="231"/>
      <c r="AA528" s="231"/>
      <c r="AB528" s="231"/>
      <c r="AC528" s="231"/>
    </row>
    <row r="529" spans="3:29" s="230" customFormat="1" ht="15" hidden="1" customHeight="1">
      <c r="C529" s="1202"/>
      <c r="D529" s="173" t="str">
        <f>IF(Indice_index!$Z$1=1,"julho","July")</f>
        <v>July</v>
      </c>
      <c r="E529" s="230">
        <v>-50</v>
      </c>
      <c r="F529" s="230">
        <v>-22.3</v>
      </c>
      <c r="G529" s="230">
        <v>25.9</v>
      </c>
      <c r="H529" s="230">
        <v>-27.8</v>
      </c>
      <c r="I529" s="230">
        <v>0</v>
      </c>
      <c r="J529" s="230">
        <v>-41.2</v>
      </c>
      <c r="K529" s="230">
        <v>-23.8</v>
      </c>
      <c r="L529" s="230">
        <v>22.5</v>
      </c>
      <c r="M529" s="230">
        <v>-30.3</v>
      </c>
      <c r="N529" s="230">
        <v>7.6</v>
      </c>
      <c r="O529" s="230">
        <v>14.2</v>
      </c>
      <c r="P529" s="230">
        <v>-2.7</v>
      </c>
      <c r="R529" s="231"/>
      <c r="S529" s="231"/>
      <c r="T529" s="231"/>
      <c r="U529" s="231"/>
      <c r="V529" s="231"/>
      <c r="W529" s="231"/>
      <c r="X529" s="231"/>
      <c r="Y529" s="231"/>
      <c r="Z529" s="231"/>
      <c r="AA529" s="231"/>
      <c r="AB529" s="231"/>
      <c r="AC529" s="231"/>
    </row>
    <row r="530" spans="3:29" s="230" customFormat="1" ht="15" hidden="1" customHeight="1">
      <c r="C530" s="1202"/>
      <c r="D530" s="173" t="str">
        <f>IF(Indice_index!$Z$1=1,"agosto","August")</f>
        <v>August</v>
      </c>
      <c r="E530" s="1164">
        <v>-36.700000000000003</v>
      </c>
      <c r="F530" s="1164">
        <v>-12.4</v>
      </c>
      <c r="G530" s="1164">
        <v>1.6</v>
      </c>
      <c r="H530" s="1164">
        <v>-24.2</v>
      </c>
      <c r="I530" s="1164">
        <v>-4.7</v>
      </c>
      <c r="J530" s="1164">
        <v>-15.9</v>
      </c>
      <c r="K530" s="1164">
        <v>-1.5</v>
      </c>
      <c r="L530" s="1164">
        <v>-0.1</v>
      </c>
      <c r="M530" s="1164">
        <v>-12.2</v>
      </c>
      <c r="N530" s="1164">
        <v>9</v>
      </c>
      <c r="O530" s="1164">
        <v>30.7</v>
      </c>
      <c r="P530" s="1164">
        <v>-1.6</v>
      </c>
      <c r="R530" s="231"/>
      <c r="S530" s="231"/>
      <c r="T530" s="231"/>
      <c r="U530" s="231"/>
      <c r="V530" s="231"/>
      <c r="W530" s="231"/>
      <c r="X530" s="231"/>
      <c r="Y530" s="231"/>
      <c r="Z530" s="231"/>
      <c r="AA530" s="231"/>
      <c r="AB530" s="231"/>
      <c r="AC530" s="231"/>
    </row>
    <row r="531" spans="3:29" s="172" customFormat="1" ht="15" hidden="1" customHeight="1">
      <c r="C531" s="1202"/>
      <c r="D531" s="173" t="str">
        <f>IF(Indice_index!$Z$1=1,"setembro","September")</f>
        <v>September</v>
      </c>
      <c r="E531" s="1164">
        <v>-4</v>
      </c>
      <c r="F531" s="1164">
        <v>-22.8</v>
      </c>
      <c r="G531" s="1164">
        <v>-2</v>
      </c>
      <c r="H531" s="1164">
        <v>-5.2</v>
      </c>
      <c r="I531" s="1164">
        <v>8.1</v>
      </c>
      <c r="J531" s="1164">
        <v>-12.1</v>
      </c>
      <c r="K531" s="1164">
        <v>-27.4</v>
      </c>
      <c r="L531" s="1164">
        <v>2.9</v>
      </c>
      <c r="M531" s="1164">
        <v>-11</v>
      </c>
      <c r="N531" s="1164">
        <v>11</v>
      </c>
      <c r="O531" s="1164">
        <v>-7.4</v>
      </c>
      <c r="P531" s="1164">
        <v>5</v>
      </c>
      <c r="R531" s="231"/>
      <c r="S531" s="231"/>
      <c r="T531" s="231"/>
      <c r="U531" s="231"/>
      <c r="V531" s="231"/>
      <c r="W531" s="231"/>
      <c r="X531" s="231"/>
      <c r="Y531" s="231"/>
      <c r="Z531" s="231"/>
      <c r="AA531" s="231"/>
      <c r="AB531" s="231"/>
      <c r="AC531" s="231"/>
    </row>
    <row r="532" spans="3:29" s="172" customFormat="1" ht="15" hidden="1" customHeight="1">
      <c r="C532" s="1202"/>
      <c r="D532" s="173" t="str">
        <f>IF(Indice_index!$Z$1=1,"outubro","October")</f>
        <v>October</v>
      </c>
      <c r="E532" s="1164">
        <v>-41.1</v>
      </c>
      <c r="F532" s="1164">
        <v>34.299999999999997</v>
      </c>
      <c r="G532" s="1164">
        <v>-86.3</v>
      </c>
      <c r="H532" s="1164">
        <v>-75.8</v>
      </c>
      <c r="I532" s="1164">
        <v>16.7</v>
      </c>
      <c r="J532" s="1164">
        <v>-33.1</v>
      </c>
      <c r="K532" s="1164">
        <v>35.4</v>
      </c>
      <c r="L532" s="1164">
        <v>-66.5</v>
      </c>
      <c r="M532" s="1164">
        <v>-43.8</v>
      </c>
      <c r="N532" s="1164">
        <v>20.8</v>
      </c>
      <c r="O532" s="1164">
        <v>11.8</v>
      </c>
      <c r="P532" s="1164">
        <v>145.30000000000001</v>
      </c>
      <c r="R532" s="231"/>
      <c r="S532" s="231"/>
      <c r="T532" s="231"/>
      <c r="U532" s="231"/>
      <c r="V532" s="231"/>
      <c r="W532" s="231"/>
      <c r="X532" s="231"/>
      <c r="Y532" s="231"/>
      <c r="Z532" s="231"/>
      <c r="AA532" s="231"/>
      <c r="AB532" s="231"/>
      <c r="AC532" s="231"/>
    </row>
    <row r="533" spans="3:29" s="172" customFormat="1" ht="15" hidden="1" customHeight="1">
      <c r="C533" s="1202"/>
      <c r="D533" s="173" t="str">
        <f>IF(Indice_index!$Z$1=1,"novembro","November")</f>
        <v>November</v>
      </c>
      <c r="E533" s="1164">
        <v>-37.799999999999997</v>
      </c>
      <c r="F533" s="1164">
        <v>-16.8</v>
      </c>
      <c r="G533" s="1164">
        <v>28.3</v>
      </c>
      <c r="H533" s="1164">
        <v>-12.9</v>
      </c>
      <c r="I533" s="1164">
        <v>0</v>
      </c>
      <c r="J533" s="1164">
        <v>-51.6</v>
      </c>
      <c r="K533" s="1164">
        <v>-1</v>
      </c>
      <c r="L533" s="1164">
        <v>46.7</v>
      </c>
      <c r="M533" s="1164">
        <v>-33.6</v>
      </c>
      <c r="N533" s="1164">
        <v>1.3</v>
      </c>
      <c r="O533" s="1164">
        <v>-19.3</v>
      </c>
      <c r="P533" s="1164">
        <v>14.3</v>
      </c>
      <c r="R533" s="231"/>
      <c r="S533" s="231"/>
      <c r="T533" s="231"/>
      <c r="U533" s="231"/>
      <c r="V533" s="231"/>
      <c r="W533" s="231"/>
      <c r="X533" s="231"/>
      <c r="Y533" s="231"/>
      <c r="Z533" s="231"/>
      <c r="AA533" s="231"/>
      <c r="AB533" s="231"/>
      <c r="AC533" s="231"/>
    </row>
    <row r="534" spans="3:29" s="172" customFormat="1" ht="15" hidden="1" customHeight="1">
      <c r="C534" s="1202"/>
      <c r="D534" s="173" t="str">
        <f>IF(Indice_index!$Z$1=1,"dezembro","December")</f>
        <v>December</v>
      </c>
      <c r="E534" s="1164">
        <v>25.5</v>
      </c>
      <c r="F534" s="1164">
        <v>18.5</v>
      </c>
      <c r="G534" s="1164">
        <v>-2.5</v>
      </c>
      <c r="H534" s="1164">
        <v>11</v>
      </c>
      <c r="I534" s="1164">
        <v>-6.5</v>
      </c>
      <c r="J534" s="1164">
        <v>63</v>
      </c>
      <c r="K534" s="1164">
        <v>51.5</v>
      </c>
      <c r="L534" s="1164">
        <v>5.5</v>
      </c>
      <c r="M534" s="1164">
        <v>43.3</v>
      </c>
      <c r="N534" s="1164">
        <v>-3.6</v>
      </c>
      <c r="O534" s="1164">
        <v>37.5</v>
      </c>
      <c r="P534" s="1164">
        <v>8.1</v>
      </c>
      <c r="R534" s="231"/>
      <c r="S534" s="231"/>
      <c r="T534" s="231"/>
      <c r="U534" s="231"/>
      <c r="V534" s="231"/>
      <c r="W534" s="231"/>
      <c r="X534" s="231"/>
      <c r="Y534" s="231"/>
      <c r="Z534" s="231"/>
      <c r="AA534" s="231"/>
      <c r="AB534" s="231"/>
      <c r="AC534" s="231"/>
    </row>
    <row r="535" spans="3:29" s="230" customFormat="1" ht="15" customHeight="1">
      <c r="C535" s="1274">
        <v>2019</v>
      </c>
      <c r="D535" s="172"/>
      <c r="E535" s="1164"/>
      <c r="F535" s="1164"/>
      <c r="G535" s="1164"/>
      <c r="H535" s="1164"/>
      <c r="I535" s="1164"/>
      <c r="J535" s="1164"/>
      <c r="K535" s="1164"/>
      <c r="L535" s="1164"/>
      <c r="M535" s="172"/>
      <c r="N535" s="1164"/>
      <c r="O535" s="1164"/>
      <c r="P535" s="1164"/>
      <c r="R535" s="231"/>
      <c r="S535" s="231"/>
      <c r="T535" s="231"/>
      <c r="U535" s="231"/>
      <c r="V535" s="231"/>
      <c r="W535" s="231"/>
      <c r="X535" s="231"/>
      <c r="Y535" s="231"/>
      <c r="Z535" s="231"/>
      <c r="AA535" s="231"/>
      <c r="AB535" s="231"/>
      <c r="AC535" s="231"/>
    </row>
    <row r="536" spans="3:29" s="172" customFormat="1" ht="15" customHeight="1">
      <c r="C536" s="1202"/>
      <c r="D536" s="173" t="str">
        <f>IF(Indice_index!$Z$1=1,"janeiro","January")</f>
        <v>January</v>
      </c>
      <c r="E536" s="1317">
        <v>13.6</v>
      </c>
      <c r="F536" s="1317">
        <v>40</v>
      </c>
      <c r="G536" s="1317">
        <v>36.4</v>
      </c>
      <c r="H536" s="1317">
        <v>25.2</v>
      </c>
      <c r="I536" s="1317">
        <v>3.7</v>
      </c>
      <c r="J536" s="1317">
        <v>67.8</v>
      </c>
      <c r="K536" s="1317">
        <v>44.8</v>
      </c>
      <c r="L536" s="1317">
        <v>36.6</v>
      </c>
      <c r="M536" s="1317">
        <v>56.7</v>
      </c>
      <c r="N536" s="1317">
        <v>0</v>
      </c>
      <c r="O536" s="1317">
        <v>39.700000000000003</v>
      </c>
      <c r="P536" s="1317">
        <v>0.1</v>
      </c>
      <c r="R536" s="231"/>
      <c r="S536" s="231"/>
      <c r="T536" s="231"/>
      <c r="U536" s="231"/>
      <c r="V536" s="231"/>
      <c r="W536" s="231"/>
      <c r="X536" s="231"/>
      <c r="Y536" s="231"/>
      <c r="Z536" s="231"/>
      <c r="AA536" s="231"/>
      <c r="AB536" s="231"/>
      <c r="AC536" s="231"/>
    </row>
    <row r="537" spans="3:29" s="172" customFormat="1" ht="15" customHeight="1">
      <c r="C537" s="1202"/>
      <c r="D537" s="173" t="str">
        <f>IF(Indice_index!$Z$1=1,"fevereiro","February")</f>
        <v>February</v>
      </c>
      <c r="E537" s="1317">
        <v>-7.5</v>
      </c>
      <c r="F537" s="1317">
        <v>102.4</v>
      </c>
      <c r="G537" s="1317">
        <v>32.799999999999997</v>
      </c>
      <c r="H537" s="1317">
        <v>16.8</v>
      </c>
      <c r="I537" s="1317">
        <v>-8.3000000000000007</v>
      </c>
      <c r="J537" s="1317">
        <v>-17.600000000000001</v>
      </c>
      <c r="K537" s="1317">
        <v>100.1</v>
      </c>
      <c r="L537" s="1317">
        <v>40.700000000000003</v>
      </c>
      <c r="M537" s="1317">
        <v>4.4000000000000004</v>
      </c>
      <c r="N537" s="1317">
        <v>-3.3</v>
      </c>
      <c r="O537" s="1317">
        <v>-10.8</v>
      </c>
      <c r="P537" s="1317">
        <v>6</v>
      </c>
      <c r="R537" s="231"/>
      <c r="S537" s="231"/>
      <c r="T537" s="231"/>
      <c r="U537" s="231"/>
      <c r="V537" s="231"/>
      <c r="W537" s="231"/>
      <c r="X537" s="231"/>
      <c r="Y537" s="231"/>
      <c r="Z537" s="231"/>
      <c r="AA537" s="231"/>
      <c r="AB537" s="231"/>
      <c r="AC537" s="231"/>
    </row>
    <row r="538" spans="3:29" s="172" customFormat="1" ht="15" customHeight="1">
      <c r="C538" s="1202"/>
      <c r="D538" s="173" t="str">
        <f>IF(Indice_index!$Z$1=1,"março","March")</f>
        <v>March</v>
      </c>
      <c r="E538" s="1317">
        <v>-23.2</v>
      </c>
      <c r="F538" s="1317">
        <v>50.6</v>
      </c>
      <c r="G538" s="1317">
        <v>49.4</v>
      </c>
      <c r="H538" s="1317">
        <v>15.9</v>
      </c>
      <c r="I538" s="1317">
        <v>15.2</v>
      </c>
      <c r="J538" s="1317">
        <v>-21</v>
      </c>
      <c r="K538" s="1317">
        <v>70.3</v>
      </c>
      <c r="L538" s="1317">
        <v>47.7</v>
      </c>
      <c r="M538" s="1317">
        <v>5.9</v>
      </c>
      <c r="N538" s="1317">
        <v>16.600000000000001</v>
      </c>
      <c r="O538" s="1317">
        <v>1.3</v>
      </c>
      <c r="P538" s="1317">
        <v>-1.2</v>
      </c>
      <c r="R538" s="231"/>
      <c r="S538" s="231"/>
      <c r="T538" s="231"/>
      <c r="U538" s="231"/>
      <c r="V538" s="231"/>
      <c r="W538" s="231"/>
      <c r="X538" s="231"/>
      <c r="Y538" s="231"/>
      <c r="Z538" s="231"/>
      <c r="AA538" s="231"/>
      <c r="AB538" s="231"/>
      <c r="AC538" s="231"/>
    </row>
    <row r="539" spans="3:29" s="230" customFormat="1" ht="15" customHeight="1">
      <c r="C539" s="1202"/>
      <c r="D539" s="173" t="str">
        <f>IF(Indice_index!$Z$1=1,"abril","April")</f>
        <v>April</v>
      </c>
      <c r="E539" s="1317">
        <v>60.9</v>
      </c>
      <c r="F539" s="1317">
        <v>159.5</v>
      </c>
      <c r="G539" s="1317">
        <v>10.4</v>
      </c>
      <c r="H539" s="1317">
        <v>46</v>
      </c>
      <c r="I539" s="1317">
        <v>-17.8</v>
      </c>
      <c r="J539" s="1317">
        <v>48.1</v>
      </c>
      <c r="K539" s="1317">
        <v>170.3</v>
      </c>
      <c r="L539" s="1317">
        <v>22.5</v>
      </c>
      <c r="M539" s="1317">
        <v>53.6</v>
      </c>
      <c r="N539" s="1317">
        <v>-18.2</v>
      </c>
      <c r="O539" s="1317">
        <v>-6.9</v>
      </c>
      <c r="P539" s="1317">
        <v>11</v>
      </c>
      <c r="R539" s="231"/>
      <c r="S539" s="231"/>
      <c r="T539" s="231"/>
      <c r="U539" s="231"/>
      <c r="V539" s="231"/>
      <c r="W539" s="231"/>
      <c r="X539" s="231"/>
      <c r="Y539" s="231"/>
      <c r="Z539" s="231"/>
      <c r="AA539" s="231"/>
      <c r="AB539" s="231"/>
      <c r="AC539" s="231"/>
    </row>
    <row r="540" spans="3:29" s="230" customFormat="1" ht="15" customHeight="1">
      <c r="C540" s="1202"/>
      <c r="D540" s="173" t="str">
        <f>IF(Indice_index!$Z$1=1,"maio","May")</f>
        <v>May</v>
      </c>
      <c r="E540" s="1317">
        <v>17.5</v>
      </c>
      <c r="F540" s="1317">
        <v>78.099999999999994</v>
      </c>
      <c r="G540" s="1317">
        <v>35.299999999999997</v>
      </c>
      <c r="H540" s="1317">
        <v>28.9</v>
      </c>
      <c r="I540" s="1317">
        <v>9</v>
      </c>
      <c r="J540" s="1317">
        <v>13.7</v>
      </c>
      <c r="K540" s="1317">
        <v>78.8</v>
      </c>
      <c r="L540" s="1317">
        <v>24.7</v>
      </c>
      <c r="M540" s="1317">
        <v>20.7</v>
      </c>
      <c r="N540" s="1317">
        <v>65.599999999999994</v>
      </c>
      <c r="O540" s="1317">
        <v>-4.3</v>
      </c>
      <c r="P540" s="1317">
        <v>-7.9</v>
      </c>
      <c r="R540" s="231"/>
      <c r="S540" s="231"/>
      <c r="T540" s="231"/>
      <c r="U540" s="231"/>
      <c r="V540" s="231"/>
      <c r="W540" s="231"/>
      <c r="X540" s="231"/>
      <c r="Y540" s="231"/>
      <c r="Z540" s="231"/>
      <c r="AA540" s="231"/>
      <c r="AB540" s="231"/>
      <c r="AC540" s="231"/>
    </row>
    <row r="541" spans="3:29" s="230" customFormat="1" ht="15" customHeight="1">
      <c r="C541" s="1202"/>
      <c r="D541" s="173" t="str">
        <f>IF(Indice_index!$Z$1=1,"junho","June")</f>
        <v>June</v>
      </c>
      <c r="E541" s="1317">
        <v>31.4</v>
      </c>
      <c r="F541" s="1317">
        <v>111.5</v>
      </c>
      <c r="G541" s="1317">
        <v>61.8</v>
      </c>
      <c r="H541" s="1317">
        <v>50.9</v>
      </c>
      <c r="I541" s="1317">
        <v>5.6</v>
      </c>
      <c r="J541" s="1317">
        <v>7.5</v>
      </c>
      <c r="K541" s="1317">
        <v>181.9</v>
      </c>
      <c r="L541" s="1317">
        <v>51.8</v>
      </c>
      <c r="M541" s="1317">
        <v>30.3</v>
      </c>
      <c r="N541" s="1317">
        <v>8</v>
      </c>
      <c r="O541" s="1317">
        <v>-13.2</v>
      </c>
      <c r="P541" s="1317">
        <v>-6.1</v>
      </c>
      <c r="R541" s="231"/>
      <c r="S541" s="231"/>
      <c r="T541" s="231"/>
      <c r="U541" s="231"/>
      <c r="V541" s="231"/>
      <c r="W541" s="231"/>
      <c r="X541" s="231"/>
      <c r="Y541" s="231"/>
      <c r="Z541" s="231"/>
      <c r="AA541" s="231"/>
      <c r="AB541" s="231"/>
      <c r="AC541" s="231"/>
    </row>
    <row r="542" spans="3:29" s="230" customFormat="1" ht="15" customHeight="1">
      <c r="C542" s="1202"/>
      <c r="D542" s="173" t="str">
        <f>IF(Indice_index!$Z$1=1,"julho","July")</f>
        <v>July</v>
      </c>
      <c r="E542" s="1317">
        <v>46.2</v>
      </c>
      <c r="F542" s="1317">
        <v>27.1</v>
      </c>
      <c r="G542" s="1317">
        <v>6.6</v>
      </c>
      <c r="H542" s="1317">
        <v>26.3</v>
      </c>
      <c r="I542" s="1317">
        <v>-6.9</v>
      </c>
      <c r="J542" s="1317">
        <v>46.9</v>
      </c>
      <c r="K542" s="1317">
        <v>57.7</v>
      </c>
      <c r="L542" s="1317">
        <v>11.8</v>
      </c>
      <c r="M542" s="1317">
        <v>38.6</v>
      </c>
      <c r="N542" s="1317">
        <v>-12.3</v>
      </c>
      <c r="O542" s="1317">
        <v>3.5</v>
      </c>
      <c r="P542" s="1317">
        <v>4.9000000000000004</v>
      </c>
      <c r="R542" s="231"/>
      <c r="S542" s="231"/>
      <c r="T542" s="231"/>
      <c r="U542" s="231"/>
      <c r="V542" s="231"/>
      <c r="W542" s="231"/>
      <c r="X542" s="231"/>
      <c r="Y542" s="231"/>
      <c r="Z542" s="231"/>
      <c r="AA542" s="231"/>
      <c r="AB542" s="231"/>
      <c r="AC542" s="231"/>
    </row>
    <row r="543" spans="3:29" s="230" customFormat="1" ht="15" customHeight="1">
      <c r="C543" s="1202"/>
      <c r="D543" s="173" t="str">
        <f>IF(Indice_index!$Z$1=1,"agosto","August")</f>
        <v>August</v>
      </c>
      <c r="E543" s="1317">
        <v>20.399999999999999</v>
      </c>
      <c r="F543" s="1317">
        <v>58.6</v>
      </c>
      <c r="G543" s="1317">
        <v>48.1</v>
      </c>
      <c r="H543" s="1317">
        <v>33.700000000000003</v>
      </c>
      <c r="I543" s="1317">
        <v>11.9</v>
      </c>
      <c r="J543" s="1317">
        <v>-6</v>
      </c>
      <c r="K543" s="1317">
        <v>28.9</v>
      </c>
      <c r="L543" s="1317">
        <v>41</v>
      </c>
      <c r="M543" s="1317">
        <v>5.8</v>
      </c>
      <c r="N543" s="1317">
        <v>13.3</v>
      </c>
      <c r="O543" s="1317">
        <v>-21.8</v>
      </c>
      <c r="P543" s="1317">
        <v>-4.8</v>
      </c>
    </row>
    <row r="544" spans="3:29" s="172" customFormat="1" ht="15" customHeight="1">
      <c r="C544" s="1202"/>
      <c r="D544" s="173" t="str">
        <f>IF(Indice_index!$Z$1=1,"setembro","September")</f>
        <v>September</v>
      </c>
      <c r="E544" s="1317">
        <v>13.4</v>
      </c>
      <c r="F544" s="1317">
        <v>35.299999999999997</v>
      </c>
      <c r="G544" s="1317">
        <v>45</v>
      </c>
      <c r="H544" s="1317">
        <v>27.2</v>
      </c>
      <c r="I544" s="1317">
        <v>-4.3</v>
      </c>
      <c r="J544" s="1317">
        <v>-3.8</v>
      </c>
      <c r="K544" s="1317">
        <v>57.4</v>
      </c>
      <c r="L544" s="1317">
        <v>19.2</v>
      </c>
      <c r="M544" s="1317">
        <v>5.6</v>
      </c>
      <c r="N544" s="1317">
        <v>-2.4</v>
      </c>
      <c r="O544" s="1317">
        <v>-12.1</v>
      </c>
      <c r="P544" s="1317">
        <v>-17.8</v>
      </c>
      <c r="R544" s="230"/>
      <c r="S544" s="230"/>
      <c r="T544" s="230"/>
      <c r="U544" s="230"/>
      <c r="V544" s="230"/>
      <c r="W544" s="230"/>
      <c r="X544" s="230"/>
      <c r="Y544" s="230"/>
      <c r="Z544" s="230"/>
      <c r="AA544" s="230"/>
      <c r="AB544" s="230"/>
      <c r="AC544" s="230"/>
    </row>
    <row r="545" spans="3:42" s="172" customFormat="1" ht="15" customHeight="1">
      <c r="C545" s="1202"/>
      <c r="D545" s="173" t="str">
        <f>IF(Indice_index!$Z$1=1,"outubro","October")</f>
        <v>October</v>
      </c>
      <c r="E545" s="1318">
        <v>39.5</v>
      </c>
      <c r="F545" s="1318">
        <v>-3.3</v>
      </c>
      <c r="G545" s="1318">
        <v>33.9</v>
      </c>
      <c r="H545" s="1318">
        <v>33.9</v>
      </c>
      <c r="I545" s="1318">
        <v>2.8</v>
      </c>
      <c r="J545" s="1318">
        <v>9.9</v>
      </c>
      <c r="K545" s="1318">
        <v>-12.2</v>
      </c>
      <c r="L545" s="1318">
        <v>10.1</v>
      </c>
      <c r="M545" s="1318">
        <v>8</v>
      </c>
      <c r="N545" s="1318">
        <v>4.4000000000000004</v>
      </c>
      <c r="O545" s="1318">
        <v>-19.8</v>
      </c>
      <c r="P545" s="1318">
        <v>-17.7</v>
      </c>
      <c r="R545" s="230"/>
      <c r="S545" s="230"/>
      <c r="T545" s="230"/>
      <c r="U545" s="230"/>
      <c r="V545" s="230"/>
      <c r="W545" s="230"/>
      <c r="X545" s="230"/>
      <c r="Y545" s="230"/>
      <c r="Z545" s="230"/>
      <c r="AA545" s="230"/>
      <c r="AB545" s="230"/>
      <c r="AC545" s="230"/>
    </row>
    <row r="546" spans="3:42" s="172" customFormat="1" ht="15" customHeight="1">
      <c r="C546" s="1202"/>
      <c r="D546" s="173" t="str">
        <f>IF(Indice_index!$Z$1=1,"novembro","November")</f>
        <v>November</v>
      </c>
      <c r="E546" s="1319">
        <v>185.2981969486824</v>
      </c>
      <c r="F546" s="1319">
        <v>31.343283582089555</v>
      </c>
      <c r="G546" s="1319">
        <v>12.391304347826088</v>
      </c>
      <c r="H546" s="1319">
        <v>84.056338028169009</v>
      </c>
      <c r="I546" s="1319">
        <v>7.4565883554647607</v>
      </c>
      <c r="J546" s="1319">
        <v>65.649273887206007</v>
      </c>
      <c r="K546" s="1319">
        <v>26.013789365437628</v>
      </c>
      <c r="L546" s="1319">
        <v>-8.8076257153516018</v>
      </c>
      <c r="M546" s="1319">
        <v>37.145471165911317</v>
      </c>
      <c r="N546" s="1319">
        <v>10.189489535454682</v>
      </c>
      <c r="O546" s="1319">
        <v>-38.769625120153805</v>
      </c>
      <c r="P546" s="1319">
        <v>-18.863004172461761</v>
      </c>
      <c r="R546" s="230"/>
      <c r="S546" s="230"/>
      <c r="T546" s="230"/>
      <c r="U546" s="230"/>
      <c r="V546" s="230"/>
      <c r="W546" s="230"/>
      <c r="X546" s="230"/>
      <c r="Y546" s="230"/>
      <c r="Z546" s="230"/>
      <c r="AA546" s="230"/>
      <c r="AB546" s="230"/>
      <c r="AC546" s="230"/>
    </row>
    <row r="547" spans="3:42" s="172" customFormat="1" ht="15" customHeight="1">
      <c r="C547" s="1202"/>
      <c r="D547" s="173" t="str">
        <f>IF(Indice_index!$Z$1=1,"dezembro","December")</f>
        <v>December</v>
      </c>
      <c r="E547" s="1164">
        <v>135.73059360730593</v>
      </c>
      <c r="F547" s="1164">
        <v>-24.311926605504588</v>
      </c>
      <c r="G547" s="1164">
        <v>-22.53012048192771</v>
      </c>
      <c r="H547" s="1164">
        <v>49.324324324324323</v>
      </c>
      <c r="I547" s="1164">
        <v>8.0947680157946689</v>
      </c>
      <c r="J547" s="1164">
        <v>35.636954147504483</v>
      </c>
      <c r="K547" s="1164">
        <v>-30.219616809056653</v>
      </c>
      <c r="L547" s="1164">
        <v>-35.29300310023357</v>
      </c>
      <c r="M547" s="1164">
        <v>11.346467840992702</v>
      </c>
      <c r="N547" s="1164">
        <v>13.0917041557187</v>
      </c>
      <c r="O547" s="1164">
        <v>-38.321428571428569</v>
      </c>
      <c r="P547" s="1164">
        <v>-16.476173729558649</v>
      </c>
      <c r="R547" s="230"/>
      <c r="S547" s="230"/>
      <c r="T547" s="230"/>
      <c r="U547" s="230"/>
      <c r="V547" s="230"/>
      <c r="W547" s="230"/>
      <c r="X547" s="230"/>
      <c r="Y547" s="230"/>
      <c r="Z547" s="230"/>
      <c r="AA547" s="230"/>
      <c r="AB547" s="230"/>
      <c r="AC547" s="230"/>
    </row>
    <row r="548" spans="3:42" s="230" customFormat="1" ht="15" customHeight="1">
      <c r="C548" s="1274">
        <v>2020</v>
      </c>
      <c r="D548" s="172"/>
      <c r="E548" s="1164"/>
      <c r="F548" s="1164"/>
      <c r="G548" s="1164"/>
      <c r="H548" s="1164"/>
      <c r="I548" s="1164"/>
      <c r="J548" s="1164"/>
      <c r="K548" s="1164"/>
      <c r="L548" s="1164"/>
      <c r="M548" s="172"/>
      <c r="N548" s="1164"/>
      <c r="O548" s="1164"/>
      <c r="P548" s="1164"/>
      <c r="R548" s="231"/>
      <c r="S548" s="231"/>
      <c r="T548" s="231"/>
      <c r="U548" s="231"/>
      <c r="V548" s="231"/>
      <c r="W548" s="231"/>
      <c r="X548" s="231"/>
      <c r="Y548" s="231"/>
      <c r="Z548" s="231"/>
      <c r="AA548" s="231"/>
      <c r="AB548" s="231"/>
      <c r="AC548" s="231"/>
    </row>
    <row r="549" spans="3:42" s="172" customFormat="1" ht="15" customHeight="1">
      <c r="C549" s="1202"/>
      <c r="D549" s="173" t="str">
        <f>IF(Indice_index!$Z$1=1,"janeiro","January")</f>
        <v>January</v>
      </c>
      <c r="E549" s="1317">
        <v>62.625</v>
      </c>
      <c r="F549" s="1317">
        <v>-42.285714285714285</v>
      </c>
      <c r="G549" s="1317">
        <v>111.31578947368422</v>
      </c>
      <c r="H549" s="1317">
        <v>73.371757925072046</v>
      </c>
      <c r="I549" s="1317">
        <v>23.18271119842829</v>
      </c>
      <c r="J549" s="1317">
        <v>29.061286504775534</v>
      </c>
      <c r="K549" s="1317">
        <v>-29.759636700044805</v>
      </c>
      <c r="L549" s="1317">
        <v>183.73480079569762</v>
      </c>
      <c r="M549" s="1317">
        <v>59.865318660577472</v>
      </c>
      <c r="N549" s="1317">
        <v>9.3987115660011096</v>
      </c>
      <c r="O549" s="1317">
        <v>-15.821610759004487</v>
      </c>
      <c r="P549" s="1317">
        <v>34.281868871370882</v>
      </c>
      <c r="R549" s="231"/>
      <c r="S549" s="231"/>
      <c r="T549" s="231"/>
      <c r="U549" s="231"/>
      <c r="V549" s="231"/>
      <c r="W549" s="231"/>
      <c r="X549" s="231"/>
      <c r="Y549" s="231"/>
      <c r="Z549" s="231"/>
      <c r="AA549" s="231"/>
      <c r="AB549" s="231"/>
      <c r="AC549" s="231"/>
      <c r="AD549" s="427"/>
      <c r="AE549" s="427"/>
      <c r="AF549" s="427"/>
      <c r="AG549" s="427"/>
      <c r="AH549" s="427"/>
      <c r="AI549" s="427"/>
      <c r="AJ549" s="427"/>
      <c r="AK549" s="427"/>
      <c r="AL549" s="427"/>
      <c r="AM549" s="427"/>
      <c r="AN549" s="427"/>
      <c r="AO549" s="427"/>
    </row>
    <row r="550" spans="3:42" s="172" customFormat="1" ht="15" customHeight="1">
      <c r="C550" s="1202"/>
      <c r="D550" s="173" t="str">
        <f>IF(Indice_index!$Z$1=1,"fevereiro","February")</f>
        <v>February</v>
      </c>
      <c r="E550" s="1317">
        <v>69.750367107195302</v>
      </c>
      <c r="F550" s="1317">
        <v>-48.192771084337352</v>
      </c>
      <c r="G550" s="1317">
        <v>-12.791991101223582</v>
      </c>
      <c r="H550" s="1317">
        <v>16.036655211912944</v>
      </c>
      <c r="I550" s="1317">
        <v>15.657788539144471</v>
      </c>
      <c r="J550" s="1317">
        <v>54.8245143838042</v>
      </c>
      <c r="K550" s="1317">
        <v>-48.433576556043484</v>
      </c>
      <c r="L550" s="1317">
        <v>-32.144047137106718</v>
      </c>
      <c r="M550" s="1317">
        <v>13.080041952313362</v>
      </c>
      <c r="N550" s="1317">
        <v>5.0751254229762619</v>
      </c>
      <c r="O550" s="1317">
        <v>-7.3224789020543746</v>
      </c>
      <c r="P550" s="1317">
        <v>-22.188340807174885</v>
      </c>
      <c r="R550" s="231"/>
      <c r="S550" s="231"/>
      <c r="T550" s="231"/>
      <c r="U550" s="231"/>
      <c r="V550" s="231"/>
      <c r="W550" s="231"/>
      <c r="X550" s="231"/>
      <c r="Y550" s="231"/>
      <c r="Z550" s="231"/>
      <c r="AA550" s="231"/>
      <c r="AB550" s="231"/>
      <c r="AC550" s="231"/>
      <c r="AD550" s="427"/>
      <c r="AE550" s="427"/>
      <c r="AF550" s="427"/>
      <c r="AG550" s="427"/>
      <c r="AH550" s="427"/>
      <c r="AI550" s="427"/>
      <c r="AJ550" s="427"/>
      <c r="AK550" s="427"/>
      <c r="AL550" s="427"/>
      <c r="AM550" s="427"/>
      <c r="AN550" s="427"/>
      <c r="AO550" s="427"/>
    </row>
    <row r="551" spans="3:42" s="172" customFormat="1" ht="15" customHeight="1">
      <c r="C551" s="1202"/>
      <c r="D551" s="173" t="str">
        <f>IF(Indice_index!$Z$1=1,"março","March")</f>
        <v>March</v>
      </c>
      <c r="E551" s="1317">
        <v>118.25242718446603</v>
      </c>
      <c r="F551" s="1317">
        <v>15.625</v>
      </c>
      <c r="G551" s="1317">
        <v>-2.4255788313120177</v>
      </c>
      <c r="H551" s="1317">
        <v>37.365911799761619</v>
      </c>
      <c r="I551" s="1317">
        <v>-7.1994715984147959</v>
      </c>
      <c r="J551" s="1317">
        <v>103.24281880757151</v>
      </c>
      <c r="K551" s="1317">
        <v>3.273425399518167</v>
      </c>
      <c r="L551" s="1317">
        <v>-7.2461062960342506</v>
      </c>
      <c r="M551" s="1317">
        <v>47.943227140003522</v>
      </c>
      <c r="N551" s="1317">
        <v>-9.3230300511125037</v>
      </c>
      <c r="O551" s="1317">
        <v>-4.7326701896176457</v>
      </c>
      <c r="P551" s="1317">
        <v>-4.9330643682376634</v>
      </c>
      <c r="R551" s="231"/>
      <c r="S551" s="231"/>
      <c r="T551" s="231"/>
      <c r="U551" s="231"/>
      <c r="V551" s="231"/>
      <c r="W551" s="231"/>
      <c r="X551" s="231"/>
      <c r="Y551" s="231"/>
      <c r="Z551" s="231"/>
      <c r="AA551" s="231"/>
      <c r="AB551" s="231"/>
      <c r="AC551" s="231"/>
      <c r="AD551" s="427"/>
      <c r="AE551" s="427"/>
      <c r="AF551" s="427"/>
      <c r="AG551" s="427"/>
      <c r="AH551" s="427"/>
      <c r="AI551" s="427"/>
      <c r="AJ551" s="427"/>
      <c r="AK551" s="427"/>
      <c r="AL551" s="427"/>
      <c r="AM551" s="427"/>
      <c r="AN551" s="427"/>
      <c r="AO551" s="427"/>
    </row>
    <row r="552" spans="3:42" s="230" customFormat="1" ht="15" customHeight="1">
      <c r="C552" s="1202"/>
      <c r="D552" s="173" t="str">
        <f>IF(Indice_index!$Z$1=1,"abril","April")</f>
        <v>April</v>
      </c>
      <c r="E552" s="1317">
        <v>28.544600938967136</v>
      </c>
      <c r="F552" s="1317">
        <v>-64.968152866242036</v>
      </c>
      <c r="G552" s="1317">
        <v>30.695770804911319</v>
      </c>
      <c r="H552" s="1317">
        <v>15.388257575757574</v>
      </c>
      <c r="I552" s="1317">
        <v>7.9545454545454541</v>
      </c>
      <c r="J552" s="1317">
        <v>33.013179052279298</v>
      </c>
      <c r="K552" s="1317">
        <v>-61.352029525055663</v>
      </c>
      <c r="L552" s="1317">
        <v>14.532856191004734</v>
      </c>
      <c r="M552" s="1317">
        <v>13.208872926954406</v>
      </c>
      <c r="N552" s="1317">
        <v>4.7948691931676848</v>
      </c>
      <c r="O552" s="1317">
        <v>5.2434456928838955</v>
      </c>
      <c r="P552" s="1317">
        <v>-12.365783822476731</v>
      </c>
      <c r="R552" s="231"/>
      <c r="S552" s="231"/>
      <c r="T552" s="231"/>
      <c r="U552" s="231"/>
      <c r="V552" s="231"/>
      <c r="W552" s="231"/>
      <c r="X552" s="231"/>
      <c r="Y552" s="231"/>
      <c r="Z552" s="231"/>
      <c r="AA552" s="231"/>
      <c r="AB552" s="231"/>
      <c r="AC552" s="231"/>
      <c r="AD552" s="427"/>
      <c r="AE552" s="427"/>
      <c r="AF552" s="427"/>
      <c r="AG552" s="427"/>
      <c r="AH552" s="427"/>
      <c r="AI552" s="427"/>
      <c r="AJ552" s="427"/>
      <c r="AK552" s="427"/>
      <c r="AL552" s="427"/>
      <c r="AM552" s="427"/>
      <c r="AN552" s="427"/>
      <c r="AO552" s="427"/>
      <c r="AP552" s="172"/>
    </row>
    <row r="553" spans="3:42" s="230" customFormat="1" ht="15" customHeight="1">
      <c r="C553" s="1202"/>
      <c r="D553" s="173" t="str">
        <f>IF(Indice_index!$Z$1=1,"maio","May")</f>
        <v>May</v>
      </c>
      <c r="E553" s="1320">
        <v>35.726950354609926</v>
      </c>
      <c r="F553" s="1320">
        <v>-68.032786885245898</v>
      </c>
      <c r="G553" s="1320">
        <v>11.224489795918368</v>
      </c>
      <c r="H553" s="1320">
        <v>14.906832298136646</v>
      </c>
      <c r="I553" s="1320">
        <v>26.359447004608295</v>
      </c>
      <c r="J553" s="1320">
        <v>28.281477037151841</v>
      </c>
      <c r="K553" s="1320">
        <v>-62.701923332296637</v>
      </c>
      <c r="L553" s="1320">
        <v>11.389292670056442</v>
      </c>
      <c r="M553" s="1320">
        <v>14.832487390487422</v>
      </c>
      <c r="N553" s="1320">
        <v>-14.691124358028137</v>
      </c>
      <c r="O553" s="1320">
        <v>-1.3377159455740713</v>
      </c>
      <c r="P553" s="1320">
        <v>0.15533980582523388</v>
      </c>
      <c r="R553" s="231"/>
      <c r="S553" s="231"/>
      <c r="T553" s="231"/>
      <c r="U553" s="231"/>
      <c r="V553" s="231"/>
      <c r="W553" s="231"/>
      <c r="X553" s="231"/>
      <c r="Y553" s="231"/>
      <c r="Z553" s="231"/>
      <c r="AA553" s="231"/>
      <c r="AB553" s="231"/>
      <c r="AC553" s="231"/>
      <c r="AD553" s="427"/>
      <c r="AE553" s="427"/>
      <c r="AF553" s="427"/>
      <c r="AG553" s="427"/>
      <c r="AH553" s="427"/>
      <c r="AI553" s="427"/>
      <c r="AJ553" s="427"/>
      <c r="AK553" s="427"/>
      <c r="AL553" s="427"/>
      <c r="AM553" s="427"/>
      <c r="AN553" s="427"/>
      <c r="AO553" s="427"/>
      <c r="AP553" s="172"/>
    </row>
    <row r="554" spans="3:42" s="230" customFormat="1" ht="15" customHeight="1">
      <c r="C554" s="1202"/>
      <c r="D554" s="173" t="str">
        <f>IF(Indice_index!$Z$1=1,"junho","June")</f>
        <v>June</v>
      </c>
      <c r="E554" s="1317">
        <v>58.6</v>
      </c>
      <c r="F554" s="1317">
        <v>-65.5</v>
      </c>
      <c r="G554" s="1317">
        <v>-11.9</v>
      </c>
      <c r="H554" s="1317">
        <v>12.3</v>
      </c>
      <c r="I554" s="1317">
        <v>7.5</v>
      </c>
      <c r="J554" s="1317">
        <v>63.2</v>
      </c>
      <c r="K554" s="1317">
        <v>-66.2</v>
      </c>
      <c r="L554" s="1317">
        <v>-7.2</v>
      </c>
      <c r="M554" s="1317">
        <v>24.3</v>
      </c>
      <c r="N554" s="1317">
        <v>8.1999999999999993</v>
      </c>
      <c r="O554" s="1317">
        <v>2.4</v>
      </c>
      <c r="P554" s="1317">
        <v>5.4</v>
      </c>
      <c r="R554" s="231"/>
      <c r="S554" s="231"/>
      <c r="T554" s="231"/>
      <c r="U554" s="231"/>
      <c r="V554" s="231"/>
      <c r="W554" s="231"/>
      <c r="X554" s="231"/>
      <c r="Y554" s="231"/>
      <c r="Z554" s="231"/>
      <c r="AA554" s="231"/>
      <c r="AB554" s="231"/>
      <c r="AC554" s="231"/>
    </row>
    <row r="555" spans="3:42" s="230" customFormat="1" ht="15" customHeight="1">
      <c r="C555" s="1202"/>
      <c r="D555" s="173" t="str">
        <f>IF(Indice_index!$Z$1=1,"julho","July")</f>
        <v>July</v>
      </c>
      <c r="E555" s="1317">
        <v>43.3</v>
      </c>
      <c r="F555" s="1317">
        <v>-64.599999999999994</v>
      </c>
      <c r="G555" s="1317">
        <v>24.4</v>
      </c>
      <c r="H555" s="1317">
        <v>26.8</v>
      </c>
      <c r="I555" s="1317">
        <v>20.100000000000001</v>
      </c>
      <c r="J555" s="1317">
        <v>44</v>
      </c>
      <c r="K555" s="1317">
        <v>-64.5</v>
      </c>
      <c r="L555" s="1317">
        <v>30.8</v>
      </c>
      <c r="M555" s="1317">
        <v>30.6</v>
      </c>
      <c r="N555" s="1317">
        <v>28.5</v>
      </c>
      <c r="O555" s="1317">
        <v>1.7</v>
      </c>
      <c r="P555" s="1317">
        <v>5.2</v>
      </c>
      <c r="R555" s="231"/>
      <c r="S555" s="231"/>
      <c r="T555" s="231"/>
      <c r="U555" s="231"/>
      <c r="V555" s="231"/>
      <c r="W555" s="231"/>
      <c r="X555" s="231"/>
      <c r="Y555" s="231"/>
      <c r="Z555" s="231"/>
      <c r="AA555" s="231"/>
      <c r="AB555" s="231"/>
      <c r="AC555" s="231"/>
    </row>
    <row r="556" spans="3:42" s="230" customFormat="1" ht="15" customHeight="1">
      <c r="C556" s="1202"/>
      <c r="D556" s="173" t="str">
        <f>IF(Indice_index!$Z$1=1,"agosto","August")</f>
        <v>August</v>
      </c>
      <c r="E556" s="1317">
        <v>51.079136690647488</v>
      </c>
      <c r="F556" s="1317">
        <v>-77.070063694267517</v>
      </c>
      <c r="G556" s="1317">
        <v>17.23329425556858</v>
      </c>
      <c r="H556" s="1317">
        <v>26.374180534543623</v>
      </c>
      <c r="I556" s="1317">
        <v>10.084825636192271</v>
      </c>
      <c r="J556" s="1317">
        <v>78.072897743494167</v>
      </c>
      <c r="K556" s="1317">
        <v>-77.063042667441266</v>
      </c>
      <c r="L556" s="1317">
        <v>32.584157565991759</v>
      </c>
      <c r="M556" s="1317">
        <v>51.100963168788326</v>
      </c>
      <c r="N556" s="1317">
        <v>13.459985911226461</v>
      </c>
      <c r="O556" s="1317">
        <v>18.17082247860067</v>
      </c>
      <c r="P556" s="1317">
        <v>13.086017121891548</v>
      </c>
    </row>
    <row r="557" spans="3:42" s="172" customFormat="1" ht="15" customHeight="1">
      <c r="C557" s="1202"/>
      <c r="D557" s="173" t="str">
        <f>IF(Indice_index!$Z$1=1,"setembro","September")</f>
        <v>September</v>
      </c>
      <c r="E557" s="1317">
        <v>29.469548133595286</v>
      </c>
      <c r="F557" s="1317">
        <v>-84.574468085106375</v>
      </c>
      <c r="G557" s="1317">
        <v>-16.069489685124864</v>
      </c>
      <c r="H557" s="1317">
        <v>-0.32910202162670427</v>
      </c>
      <c r="I557" s="1317">
        <v>32.183908045977013</v>
      </c>
      <c r="J557" s="1317">
        <v>73.446873621707283</v>
      </c>
      <c r="K557" s="1317">
        <v>-81.573720194209571</v>
      </c>
      <c r="L557" s="1317">
        <v>7.8137034258189546</v>
      </c>
      <c r="M557" s="1317">
        <v>40.448908404512032</v>
      </c>
      <c r="N557" s="1317">
        <v>28.034566716222109</v>
      </c>
      <c r="O557" s="1317">
        <v>34.141694093192456</v>
      </c>
      <c r="P557" s="1317">
        <v>28.4661446338093</v>
      </c>
      <c r="R557" s="230"/>
      <c r="S557" s="230"/>
      <c r="T557" s="230"/>
      <c r="U557" s="230"/>
      <c r="V557" s="230"/>
      <c r="W557" s="230"/>
      <c r="X557" s="230"/>
      <c r="Y557" s="230"/>
      <c r="Z557" s="230"/>
      <c r="AA557" s="230"/>
      <c r="AB557" s="230"/>
      <c r="AC557" s="230"/>
    </row>
    <row r="558" spans="3:42" s="172" customFormat="1" ht="15" customHeight="1">
      <c r="C558" s="1202"/>
      <c r="D558" s="173" t="str">
        <f>IF(Indice_index!$Z$1=1,"outubro","October")</f>
        <v>October</v>
      </c>
      <c r="E558" s="1321">
        <v>45.3</v>
      </c>
      <c r="F558" s="1321">
        <v>-69</v>
      </c>
      <c r="G558" s="1321">
        <v>5.2</v>
      </c>
      <c r="H558" s="1321">
        <v>21.4</v>
      </c>
      <c r="I558" s="1321">
        <v>1.9</v>
      </c>
      <c r="J558" s="1321">
        <v>89.3</v>
      </c>
      <c r="K558" s="1321">
        <v>-56.6</v>
      </c>
      <c r="L558" s="1321">
        <v>29.8</v>
      </c>
      <c r="M558" s="1321">
        <v>64.7</v>
      </c>
      <c r="N558" s="1321">
        <v>3.5</v>
      </c>
      <c r="O558" s="1321">
        <v>30.7</v>
      </c>
      <c r="P558" s="1321">
        <v>23.4</v>
      </c>
      <c r="R558" s="230"/>
      <c r="S558" s="230"/>
      <c r="T558" s="230"/>
      <c r="U558" s="230"/>
      <c r="V558" s="230"/>
      <c r="W558" s="230"/>
      <c r="X558" s="230"/>
      <c r="Y558" s="230"/>
      <c r="Z558" s="230"/>
      <c r="AA558" s="230"/>
      <c r="AB558" s="230"/>
      <c r="AC558" s="230"/>
    </row>
    <row r="559" spans="3:42" s="172" customFormat="1" ht="15" customHeight="1">
      <c r="C559" s="1202"/>
      <c r="D559" s="173" t="str">
        <f>IF(Indice_index!$Z$1=1,"novembro","November")</f>
        <v>November</v>
      </c>
      <c r="E559" s="1322">
        <v>-46</v>
      </c>
      <c r="F559" s="1322">
        <v>-51.1</v>
      </c>
      <c r="G559" s="1322">
        <v>-15.8</v>
      </c>
      <c r="H559" s="1322">
        <v>-36.700000000000003</v>
      </c>
      <c r="I559" s="1322">
        <v>10.5</v>
      </c>
      <c r="J559" s="1322">
        <v>17</v>
      </c>
      <c r="K559" s="1322">
        <v>-47.6</v>
      </c>
      <c r="L559" s="1322">
        <v>-7.3</v>
      </c>
      <c r="M559" s="1322">
        <v>5.9</v>
      </c>
      <c r="N559" s="1322">
        <v>10.7</v>
      </c>
      <c r="O559" s="1322">
        <v>104.6</v>
      </c>
      <c r="P559" s="1322">
        <v>10.1</v>
      </c>
      <c r="R559" s="230"/>
      <c r="S559" s="230"/>
      <c r="T559" s="230"/>
      <c r="U559" s="230"/>
      <c r="V559" s="230"/>
      <c r="W559" s="230"/>
      <c r="X559" s="230"/>
      <c r="Y559" s="230"/>
      <c r="Z559" s="230"/>
      <c r="AA559" s="230"/>
      <c r="AB559" s="230"/>
      <c r="AC559" s="230"/>
    </row>
    <row r="560" spans="3:42" s="172" customFormat="1" ht="15" customHeight="1">
      <c r="C560" s="1202"/>
      <c r="D560" s="173" t="str">
        <f>IF(Indice_index!$Z$1=1,"dezembro","December")</f>
        <v>December</v>
      </c>
      <c r="E560" s="1323">
        <v>-48.8</v>
      </c>
      <c r="F560" s="1323">
        <v>-35.799999999999997</v>
      </c>
      <c r="G560" s="1323">
        <v>38.299999999999997</v>
      </c>
      <c r="H560" s="1323">
        <v>-28.6</v>
      </c>
      <c r="I560" s="1323">
        <v>17.600000000000001</v>
      </c>
      <c r="J560" s="1323">
        <v>3.4</v>
      </c>
      <c r="K560" s="1323">
        <v>-24.4</v>
      </c>
      <c r="L560" s="1323">
        <v>53.1</v>
      </c>
      <c r="M560" s="1323">
        <v>8.1999999999999993</v>
      </c>
      <c r="N560" s="1323">
        <v>19.8</v>
      </c>
      <c r="O560" s="1323">
        <v>93.7</v>
      </c>
      <c r="P560" s="1323">
        <v>10.7</v>
      </c>
      <c r="R560" s="230"/>
      <c r="S560" s="230"/>
      <c r="T560" s="230"/>
      <c r="U560" s="230"/>
      <c r="V560" s="230"/>
      <c r="W560" s="230"/>
      <c r="X560" s="230"/>
      <c r="Y560" s="230"/>
      <c r="Z560" s="230"/>
      <c r="AA560" s="230"/>
      <c r="AB560" s="230"/>
      <c r="AC560" s="230"/>
    </row>
    <row r="561" spans="3:42" s="230" customFormat="1" ht="15" customHeight="1">
      <c r="C561" s="1324" t="s">
        <v>68</v>
      </c>
      <c r="D561" s="172"/>
      <c r="E561" s="1164"/>
      <c r="F561" s="1164"/>
      <c r="G561" s="1164"/>
      <c r="H561" s="1164"/>
      <c r="I561" s="1164"/>
      <c r="J561" s="1164"/>
      <c r="K561" s="1164"/>
      <c r="L561" s="1164"/>
      <c r="M561" s="172"/>
      <c r="N561" s="1164"/>
      <c r="O561" s="1164"/>
      <c r="P561" s="1164"/>
      <c r="R561" s="231"/>
      <c r="S561" s="231"/>
      <c r="T561" s="231"/>
      <c r="U561" s="231"/>
      <c r="V561" s="231"/>
      <c r="W561" s="231"/>
      <c r="X561" s="231"/>
      <c r="Y561" s="231"/>
      <c r="Z561" s="231"/>
      <c r="AA561" s="231"/>
      <c r="AB561" s="231"/>
      <c r="AC561" s="231"/>
    </row>
    <row r="562" spans="3:42" s="172" customFormat="1" ht="15" customHeight="1">
      <c r="C562" s="1202"/>
      <c r="D562" s="173" t="str">
        <f>IF(Indice_index!$Z$1=1,"janeiro","January")</f>
        <v>January</v>
      </c>
      <c r="E562" s="1317">
        <v>-21.3</v>
      </c>
      <c r="F562" s="1317">
        <v>-13.9</v>
      </c>
      <c r="G562" s="1317">
        <v>-57.8</v>
      </c>
      <c r="H562" s="1317">
        <v>-40.5</v>
      </c>
      <c r="I562" s="1317">
        <v>5.2</v>
      </c>
      <c r="J562" s="1317">
        <v>16.600000000000001</v>
      </c>
      <c r="K562" s="1317">
        <v>-13.6</v>
      </c>
      <c r="L562" s="1317">
        <v>-66.8</v>
      </c>
      <c r="M562" s="1317">
        <v>-20.100000000000001</v>
      </c>
      <c r="N562" s="1317">
        <v>22.9</v>
      </c>
      <c r="O562" s="1317">
        <v>44.1</v>
      </c>
      <c r="P562" s="1317">
        <v>-21.3</v>
      </c>
      <c r="R562" s="231"/>
      <c r="S562" s="231"/>
      <c r="T562" s="231"/>
      <c r="U562" s="231"/>
      <c r="V562" s="231"/>
      <c r="W562" s="231"/>
      <c r="X562" s="231"/>
      <c r="Y562" s="231"/>
      <c r="Z562" s="231"/>
      <c r="AA562" s="231"/>
      <c r="AB562" s="231"/>
      <c r="AC562" s="231"/>
      <c r="AD562" s="427"/>
      <c r="AE562" s="427"/>
      <c r="AF562" s="427"/>
      <c r="AG562" s="427"/>
      <c r="AH562" s="427"/>
      <c r="AI562" s="427"/>
      <c r="AJ562" s="427"/>
      <c r="AK562" s="427"/>
      <c r="AL562" s="427"/>
      <c r="AM562" s="427"/>
      <c r="AN562" s="427"/>
      <c r="AO562" s="427"/>
    </row>
    <row r="563" spans="3:42" s="172" customFormat="1" ht="15" customHeight="1">
      <c r="C563" s="1202"/>
      <c r="D563" s="173" t="str">
        <f>IF(Indice_index!$Z$1=1,"fevereiro","February")</f>
        <v>February</v>
      </c>
      <c r="E563" s="1317">
        <v>-23.6</v>
      </c>
      <c r="F563" s="1317">
        <v>17.399999999999999</v>
      </c>
      <c r="G563" s="1317">
        <v>6.6</v>
      </c>
      <c r="H563" s="1317">
        <v>-10.199999999999999</v>
      </c>
      <c r="I563" s="1317">
        <v>17.100000000000001</v>
      </c>
      <c r="J563" s="1317">
        <v>4</v>
      </c>
      <c r="K563" s="1317">
        <v>6.8</v>
      </c>
      <c r="L563" s="1317">
        <v>34.9</v>
      </c>
      <c r="M563" s="1317">
        <v>10.3</v>
      </c>
      <c r="N563" s="1317">
        <v>31.2</v>
      </c>
      <c r="O563" s="1317">
        <v>31.5</v>
      </c>
      <c r="P563" s="1317">
        <v>26.5</v>
      </c>
      <c r="R563" s="231"/>
      <c r="S563" s="231"/>
      <c r="T563" s="231"/>
      <c r="U563" s="231"/>
      <c r="V563" s="231"/>
      <c r="W563" s="231"/>
      <c r="X563" s="231"/>
      <c r="Y563" s="231"/>
      <c r="Z563" s="231"/>
      <c r="AA563" s="231"/>
      <c r="AB563" s="231"/>
      <c r="AC563" s="231"/>
      <c r="AD563" s="427"/>
      <c r="AE563" s="427"/>
      <c r="AF563" s="427"/>
      <c r="AG563" s="427"/>
      <c r="AH563" s="427"/>
      <c r="AI563" s="427"/>
      <c r="AJ563" s="427"/>
      <c r="AK563" s="427"/>
      <c r="AL563" s="427"/>
      <c r="AM563" s="427"/>
      <c r="AN563" s="427"/>
      <c r="AO563" s="427"/>
    </row>
    <row r="564" spans="3:42" s="172" customFormat="1" ht="15" customHeight="1">
      <c r="C564" s="1202"/>
      <c r="D564" s="173" t="str">
        <f>IF(Indice_index!$Z$1=1,"março","March")</f>
        <v>March</v>
      </c>
      <c r="E564" s="1325">
        <v>-7.8291814946619214</v>
      </c>
      <c r="F564" s="1325">
        <v>-25</v>
      </c>
      <c r="G564" s="1325">
        <v>21.807909604519775</v>
      </c>
      <c r="H564" s="1325">
        <v>1.3449023861171365</v>
      </c>
      <c r="I564" s="1325">
        <v>71.17437722419929</v>
      </c>
      <c r="J564" s="1325">
        <v>10.839271844964628</v>
      </c>
      <c r="K564" s="1325">
        <v>-53.224774859240931</v>
      </c>
      <c r="L564" s="1325">
        <v>33.704238057488389</v>
      </c>
      <c r="M564" s="1325">
        <v>7.3137086631989163</v>
      </c>
      <c r="N564" s="1325">
        <v>82.598302873765732</v>
      </c>
      <c r="O564" s="1325">
        <v>13.280039154906595</v>
      </c>
      <c r="P564" s="1325">
        <v>9.7608024691358075</v>
      </c>
      <c r="R564" s="231"/>
      <c r="S564" s="231"/>
      <c r="T564" s="231"/>
      <c r="U564" s="231"/>
      <c r="V564" s="231"/>
      <c r="W564" s="231"/>
      <c r="X564" s="231"/>
      <c r="Y564" s="231"/>
      <c r="Z564" s="231"/>
      <c r="AA564" s="231"/>
      <c r="AB564" s="231"/>
      <c r="AC564" s="231"/>
      <c r="AD564" s="427"/>
      <c r="AE564" s="427"/>
      <c r="AF564" s="427"/>
      <c r="AG564" s="427"/>
      <c r="AH564" s="427"/>
      <c r="AI564" s="427"/>
      <c r="AJ564" s="427"/>
      <c r="AK564" s="427"/>
      <c r="AL564" s="427"/>
      <c r="AM564" s="427"/>
      <c r="AN564" s="427"/>
      <c r="AO564" s="427"/>
    </row>
    <row r="565" spans="3:42" s="230" customFormat="1" ht="15" customHeight="1">
      <c r="C565" s="1202"/>
      <c r="D565" s="173" t="str">
        <f>IF(Indice_index!$Z$1=1,"abril","April")</f>
        <v>April</v>
      </c>
      <c r="E565" s="1317">
        <v>-6.281957633308985</v>
      </c>
      <c r="F565" s="1317">
        <v>-34.545454545454547</v>
      </c>
      <c r="G565" s="1317">
        <v>29.018789144050107</v>
      </c>
      <c r="H565" s="1317">
        <v>6.3192449733278613</v>
      </c>
      <c r="I565" s="1317">
        <v>47.969924812030072</v>
      </c>
      <c r="J565" s="1317">
        <v>4.0676343472848737</v>
      </c>
      <c r="K565" s="1317">
        <v>-48.029008441945891</v>
      </c>
      <c r="L565" s="1317">
        <v>51.514067622768657</v>
      </c>
      <c r="M565" s="1317">
        <v>10.539632890099218</v>
      </c>
      <c r="N565" s="1317">
        <v>60.052185415998402</v>
      </c>
      <c r="O565" s="1317">
        <v>9.4424673784104467</v>
      </c>
      <c r="P565" s="1317">
        <v>17.418827853788034</v>
      </c>
      <c r="R565" s="231"/>
      <c r="S565" s="231"/>
      <c r="T565" s="231"/>
      <c r="U565" s="231"/>
      <c r="V565" s="231"/>
      <c r="W565" s="231"/>
      <c r="X565" s="231"/>
      <c r="Y565" s="231"/>
      <c r="Z565" s="231"/>
      <c r="AA565" s="231"/>
      <c r="AB565" s="231"/>
      <c r="AC565" s="231"/>
      <c r="AD565" s="427"/>
      <c r="AE565" s="427"/>
      <c r="AF565" s="427"/>
      <c r="AG565" s="427"/>
      <c r="AH565" s="427"/>
      <c r="AI565" s="427"/>
      <c r="AJ565" s="427"/>
      <c r="AK565" s="427"/>
      <c r="AL565" s="427"/>
      <c r="AM565" s="427"/>
      <c r="AN565" s="427"/>
      <c r="AO565" s="427"/>
      <c r="AP565" s="172"/>
    </row>
    <row r="566" spans="3:42" s="230" customFormat="1" ht="15" customHeight="1">
      <c r="C566" s="1202"/>
      <c r="D566" s="173" t="str">
        <f>IF(Indice_index!$Z$1=1,"maio","May")</f>
        <v>May</v>
      </c>
      <c r="E566" s="1326">
        <v>-14.565643370346178</v>
      </c>
      <c r="F566" s="1326">
        <v>41.025641025641022</v>
      </c>
      <c r="G566" s="1326">
        <v>4.281345565749235</v>
      </c>
      <c r="H566" s="1326">
        <v>-5.7528957528957525</v>
      </c>
      <c r="I566" s="1326">
        <v>-8.2421590080233411</v>
      </c>
      <c r="J566" s="1326">
        <v>-8.4815652405224604</v>
      </c>
      <c r="K566" s="1326">
        <v>44.040690654105155</v>
      </c>
      <c r="L566" s="1326">
        <v>9.7212951494644315</v>
      </c>
      <c r="M566" s="1326">
        <v>-3.0334569693196789</v>
      </c>
      <c r="N566" s="1326">
        <v>-8.1790431814499112</v>
      </c>
      <c r="O566" s="1326">
        <v>6.5003486480204433</v>
      </c>
      <c r="P566" s="1326">
        <v>5.215199689802267</v>
      </c>
      <c r="R566" s="231"/>
      <c r="S566" s="231"/>
      <c r="T566" s="231"/>
      <c r="U566" s="231"/>
      <c r="V566" s="231"/>
      <c r="W566" s="231"/>
      <c r="X566" s="231"/>
      <c r="Y566" s="231"/>
      <c r="Z566" s="231"/>
      <c r="AA566" s="231"/>
      <c r="AB566" s="231"/>
      <c r="AC566" s="231"/>
      <c r="AD566" s="427"/>
      <c r="AE566" s="427"/>
      <c r="AF566" s="427"/>
      <c r="AG566" s="427"/>
      <c r="AH566" s="427"/>
      <c r="AI566" s="427"/>
      <c r="AJ566" s="427"/>
      <c r="AK566" s="427"/>
      <c r="AL566" s="427"/>
      <c r="AM566" s="427"/>
      <c r="AN566" s="427"/>
      <c r="AO566" s="427"/>
      <c r="AP566" s="172"/>
    </row>
    <row r="567" spans="3:42" s="230" customFormat="1" ht="15" customHeight="1">
      <c r="C567" s="1202"/>
      <c r="D567" s="173" t="str">
        <f>IF(Indice_index!$Z$1=1,"junho","June")</f>
        <v>June</v>
      </c>
      <c r="E567" s="1327">
        <v>-13.609072715143428</v>
      </c>
      <c r="F567" s="1327">
        <v>24.719101123595504</v>
      </c>
      <c r="G567" s="1327">
        <v>7.9768786127167628</v>
      </c>
      <c r="H567" s="1327">
        <v>-4.6066041581736643</v>
      </c>
      <c r="I567" s="1327">
        <v>-17.197924388435879</v>
      </c>
      <c r="J567" s="1327">
        <v>-8.0579048029668616</v>
      </c>
      <c r="K567" s="1327">
        <v>25.44285058084273</v>
      </c>
      <c r="L567" s="1327">
        <v>9.7923334781002129</v>
      </c>
      <c r="M567" s="1327">
        <v>-3.169834198033282</v>
      </c>
      <c r="N567" s="1327">
        <v>-19.66870692142265</v>
      </c>
      <c r="O567" s="1327">
        <v>5.8999676270637824</v>
      </c>
      <c r="P567" s="1327">
        <v>1.6955468604434336</v>
      </c>
      <c r="R567" s="231"/>
      <c r="S567" s="231"/>
      <c r="T567" s="231"/>
      <c r="U567" s="231"/>
      <c r="V567" s="231"/>
      <c r="W567" s="231"/>
      <c r="X567" s="231"/>
      <c r="Y567" s="231"/>
      <c r="Z567" s="231"/>
      <c r="AA567" s="231"/>
      <c r="AB567" s="231"/>
      <c r="AC567" s="231"/>
    </row>
    <row r="568" spans="3:42" s="230" customFormat="1" ht="15" customHeight="1">
      <c r="C568" s="1202"/>
      <c r="D568" s="173" t="str">
        <f>IF(Indice_index!$Z$1=1,"julho","July")</f>
        <v>July</v>
      </c>
      <c r="E568" s="1328">
        <v>6.6115702479338845</v>
      </c>
      <c r="F568" s="1328">
        <v>84.482758620689651</v>
      </c>
      <c r="G568" s="1328">
        <v>-17.222820236813778</v>
      </c>
      <c r="H568" s="1328">
        <v>-0.61500615006150061</v>
      </c>
      <c r="I568" s="1328">
        <v>0</v>
      </c>
      <c r="J568" s="1328">
        <v>5.0085718424355763</v>
      </c>
      <c r="K568" s="1328">
        <v>87.175888936439208</v>
      </c>
      <c r="L568" s="1328">
        <v>-27.947730603627512</v>
      </c>
      <c r="M568" s="1328">
        <v>0.20488227365179362</v>
      </c>
      <c r="N568" s="1328">
        <v>5.1803294521605645</v>
      </c>
      <c r="O568" s="1328">
        <v>-1.6581632653061156</v>
      </c>
      <c r="P568" s="1328">
        <v>-12.962962962962965</v>
      </c>
      <c r="R568" s="231"/>
      <c r="S568" s="231"/>
      <c r="T568" s="231"/>
      <c r="U568" s="231"/>
      <c r="V568" s="231"/>
      <c r="W568" s="231"/>
      <c r="X568" s="231"/>
      <c r="Y568" s="231"/>
      <c r="Z568" s="231"/>
      <c r="AA568" s="231"/>
      <c r="AB568" s="231"/>
      <c r="AC568" s="231"/>
    </row>
    <row r="569" spans="3:42" s="230" customFormat="1" ht="15" customHeight="1">
      <c r="C569" s="1202"/>
      <c r="D569" s="173" t="str">
        <f>IF(Indice_index!$Z$1=1,"agosto","August")</f>
        <v>August</v>
      </c>
      <c r="E569" s="1329">
        <v>1.0884353741496597</v>
      </c>
      <c r="F569" s="1329">
        <v>250</v>
      </c>
      <c r="G569" s="1329">
        <v>-13.700000000000001</v>
      </c>
      <c r="H569" s="1329">
        <v>-1.2370311252992818</v>
      </c>
      <c r="I569" s="1329">
        <v>-9.4178082191780828</v>
      </c>
      <c r="J569" s="1329">
        <v>1.1528777438475686</v>
      </c>
      <c r="K569" s="1329">
        <v>284.5793446017957</v>
      </c>
      <c r="L569" s="1329">
        <v>-15.542383367587629</v>
      </c>
      <c r="M569" s="1329">
        <v>1.6462628904625347</v>
      </c>
      <c r="N569" s="1329">
        <v>-9.4192375120917387</v>
      </c>
      <c r="O569" s="1329">
        <v>-0.38579639398471494</v>
      </c>
      <c r="P569" s="1329">
        <v>-2.1268925739004967</v>
      </c>
    </row>
    <row r="570" spans="3:42" s="172" customFormat="1" ht="15" customHeight="1">
      <c r="C570" s="1202"/>
      <c r="D570" s="173" t="str">
        <f>IF(Indice_index!$Z$1=1,"setembro","September")</f>
        <v>September</v>
      </c>
      <c r="E570" s="1330">
        <v>-9.3323216995447638</v>
      </c>
      <c r="F570" s="1330">
        <v>203.44827586206895</v>
      </c>
      <c r="G570" s="1330">
        <v>-5.8214747736093138</v>
      </c>
      <c r="H570" s="1330">
        <v>-5.1415094339622645</v>
      </c>
      <c r="I570" s="1330">
        <v>-11.067193675889328</v>
      </c>
      <c r="J570" s="1330">
        <v>-12.809356610489218</v>
      </c>
      <c r="K570" s="1330">
        <v>140.93232406620285</v>
      </c>
      <c r="L570" s="1330">
        <v>-9.7409309505205357</v>
      </c>
      <c r="M570" s="1330">
        <v>-9.895767217684762</v>
      </c>
      <c r="N570" s="1330">
        <v>-3.3772702929630589</v>
      </c>
      <c r="O570" s="1330">
        <v>-5.4364669421487637</v>
      </c>
      <c r="P570" s="1330">
        <v>-4.1591968447472096</v>
      </c>
      <c r="R570" s="230"/>
      <c r="S570" s="230"/>
      <c r="T570" s="230"/>
      <c r="U570" s="230"/>
      <c r="V570" s="230"/>
      <c r="W570" s="230"/>
      <c r="X570" s="230"/>
      <c r="Y570" s="230"/>
      <c r="Z570" s="230"/>
      <c r="AA570" s="230"/>
      <c r="AB570" s="230"/>
      <c r="AC570" s="230"/>
    </row>
    <row r="571" spans="3:42" s="172" customFormat="1" ht="15" customHeight="1">
      <c r="C571" s="1202"/>
      <c r="D571" s="173" t="str">
        <f>IF(Indice_index!$Z$1=1,"outubro","October")</f>
        <v>October</v>
      </c>
      <c r="E571" s="1321">
        <v>4.9751243781094532</v>
      </c>
      <c r="F571" s="1321">
        <v>270.37037037037038</v>
      </c>
      <c r="G571" s="1321">
        <v>-20.181112548512289</v>
      </c>
      <c r="H571" s="1321">
        <v>-1.1465603190428715</v>
      </c>
      <c r="I571" s="1321">
        <v>5.0390964378801044</v>
      </c>
      <c r="J571" s="1321">
        <v>-6.0763421714063153</v>
      </c>
      <c r="K571" s="1321">
        <v>194.01323091652299</v>
      </c>
      <c r="L571" s="1321">
        <v>-25.297590254874684</v>
      </c>
      <c r="M571" s="1321">
        <v>-5.9955164390096174</v>
      </c>
      <c r="N571" s="1321">
        <v>0.9546927428930112</v>
      </c>
      <c r="O571" s="1321">
        <v>-11.072640868974876</v>
      </c>
      <c r="P571" s="1321">
        <v>-6.4081558346986949</v>
      </c>
      <c r="R571" s="230"/>
      <c r="S571" s="230"/>
      <c r="T571" s="230"/>
      <c r="U571" s="230"/>
      <c r="V571" s="230"/>
      <c r="W571" s="230"/>
      <c r="X571" s="230"/>
      <c r="Y571" s="230"/>
      <c r="Z571" s="230"/>
      <c r="AA571" s="230"/>
      <c r="AB571" s="230"/>
      <c r="AC571" s="230"/>
    </row>
    <row r="572" spans="3:42" s="172" customFormat="1" ht="15" customHeight="1">
      <c r="C572" s="1202"/>
      <c r="D572" s="173" t="str">
        <f>IF(Indice_index!$Z$1=1,"novembro","November")</f>
        <v>November</v>
      </c>
      <c r="E572" s="1322">
        <v>6.4806480648064806</v>
      </c>
      <c r="F572" s="1322">
        <v>19.767441860465116</v>
      </c>
      <c r="G572" s="1322">
        <v>-8.2663605051664764</v>
      </c>
      <c r="H572" s="1322">
        <v>0.82205029013539643</v>
      </c>
      <c r="I572" s="1322">
        <v>0.34423407917383825</v>
      </c>
      <c r="J572" s="1322">
        <v>-9.690802327995101</v>
      </c>
      <c r="K572" s="1322">
        <v>27.931887816267697</v>
      </c>
      <c r="L572" s="1322">
        <v>2.9603281138616149</v>
      </c>
      <c r="M572" s="1322">
        <v>-5.600200726058632</v>
      </c>
      <c r="N572" s="1322">
        <v>0.9995907799451953</v>
      </c>
      <c r="O572" s="1322">
        <v>-14.036321780278808</v>
      </c>
      <c r="P572" s="1322">
        <v>12.225034066575812</v>
      </c>
      <c r="R572" s="230"/>
      <c r="S572" s="230"/>
      <c r="T572" s="230"/>
      <c r="U572" s="230"/>
      <c r="V572" s="230"/>
      <c r="W572" s="230"/>
      <c r="X572" s="230"/>
      <c r="Y572" s="230"/>
      <c r="Z572" s="230"/>
      <c r="AA572" s="230"/>
      <c r="AB572" s="230"/>
      <c r="AC572" s="230"/>
    </row>
    <row r="573" spans="3:42" s="172" customFormat="1" ht="15" customHeight="1">
      <c r="C573" s="1202"/>
      <c r="D573" s="173" t="str">
        <f>IF(Indice_index!$Z$1=1,"dezembro","December")</f>
        <v>December</v>
      </c>
      <c r="E573" s="1331">
        <v>19.01608325449385</v>
      </c>
      <c r="F573" s="1331">
        <v>-18.867924528301888</v>
      </c>
      <c r="G573" s="1331">
        <v>-10.123734533183352</v>
      </c>
      <c r="H573" s="1331">
        <v>4.4346978557504872</v>
      </c>
      <c r="I573" s="1331">
        <v>-10.170807453416149</v>
      </c>
      <c r="J573" s="1331">
        <v>-7.0280443294290809</v>
      </c>
      <c r="K573" s="1331">
        <v>-18.226872590732171</v>
      </c>
      <c r="L573" s="1331">
        <v>-9.4014733085164384</v>
      </c>
      <c r="M573" s="1331">
        <v>-8.052363887392282</v>
      </c>
      <c r="N573" s="1331">
        <v>-6.4650862252319223</v>
      </c>
      <c r="O573" s="1331">
        <v>-20.150636619044779</v>
      </c>
      <c r="P573" s="1331">
        <v>0.81780144541652111</v>
      </c>
      <c r="R573" s="230"/>
      <c r="S573" s="230"/>
      <c r="T573" s="230"/>
      <c r="U573" s="230"/>
      <c r="V573" s="230"/>
      <c r="W573" s="230"/>
      <c r="X573" s="230"/>
      <c r="Y573" s="230"/>
      <c r="Z573" s="230"/>
      <c r="AA573" s="230"/>
      <c r="AB573" s="230"/>
      <c r="AC573" s="230"/>
    </row>
    <row r="574" spans="3:42" s="230" customFormat="1" ht="15" customHeight="1">
      <c r="C574" s="1324" t="s">
        <v>75</v>
      </c>
      <c r="D574" s="172"/>
      <c r="E574" s="1164"/>
      <c r="F574" s="1164"/>
      <c r="G574" s="1164"/>
      <c r="H574" s="1164"/>
      <c r="I574" s="1164"/>
      <c r="J574" s="1164"/>
      <c r="K574" s="1164"/>
      <c r="L574" s="1164"/>
      <c r="M574" s="172"/>
      <c r="N574" s="1164"/>
      <c r="O574" s="1164"/>
      <c r="P574" s="1164"/>
      <c r="R574" s="231"/>
      <c r="S574" s="231"/>
      <c r="T574" s="231"/>
      <c r="U574" s="231"/>
      <c r="V574" s="231"/>
      <c r="W574" s="231"/>
      <c r="X574" s="231"/>
      <c r="Y574" s="231"/>
      <c r="Z574" s="231"/>
      <c r="AA574" s="231"/>
      <c r="AB574" s="231"/>
      <c r="AC574" s="231"/>
    </row>
    <row r="575" spans="3:42" s="172" customFormat="1" ht="15" customHeight="1">
      <c r="C575" s="1202"/>
      <c r="D575" s="173" t="str">
        <f>IF(Indice_index!$Z$1=1,"janeiro","January")</f>
        <v>January</v>
      </c>
      <c r="E575" s="1332">
        <v>40.33203125</v>
      </c>
      <c r="F575" s="1332">
        <v>10.344827586206897</v>
      </c>
      <c r="G575" s="1332">
        <v>-8.112094395280236</v>
      </c>
      <c r="H575" s="1332">
        <v>20.514253773057575</v>
      </c>
      <c r="I575" s="1332">
        <v>0.45489006823351025</v>
      </c>
      <c r="J575" s="1332">
        <v>22.305863522315818</v>
      </c>
      <c r="K575" s="1332">
        <v>1.6508153079192049</v>
      </c>
      <c r="L575" s="1332">
        <v>-13.902845481270507</v>
      </c>
      <c r="M575" s="1332">
        <v>14.911728527222698</v>
      </c>
      <c r="N575" s="1332">
        <v>4.814647640107542</v>
      </c>
      <c r="O575" s="1332">
        <v>-12.258681108633329</v>
      </c>
      <c r="P575" s="1332">
        <v>-6.2943423685646742</v>
      </c>
      <c r="R575" s="231"/>
      <c r="S575" s="231"/>
      <c r="T575" s="231"/>
      <c r="U575" s="231"/>
      <c r="V575" s="231"/>
      <c r="W575" s="231"/>
      <c r="X575" s="231"/>
      <c r="Y575" s="231"/>
      <c r="Z575" s="231"/>
      <c r="AA575" s="231"/>
      <c r="AB575" s="231"/>
      <c r="AC575" s="231"/>
      <c r="AD575" s="427"/>
      <c r="AE575" s="427"/>
      <c r="AF575" s="427"/>
      <c r="AG575" s="427"/>
      <c r="AH575" s="427"/>
      <c r="AI575" s="427"/>
      <c r="AJ575" s="427"/>
      <c r="AK575" s="427"/>
      <c r="AL575" s="427"/>
      <c r="AM575" s="427"/>
      <c r="AN575" s="427"/>
      <c r="AO575" s="427"/>
    </row>
    <row r="576" spans="3:42" s="172" customFormat="1" ht="15" customHeight="1">
      <c r="C576" s="1202"/>
      <c r="D576" s="173" t="str">
        <f>IF(Indice_index!$Z$1=1,"fevereiro","February")</f>
        <v>February</v>
      </c>
      <c r="E576" s="1333">
        <v>51.415628539071342</v>
      </c>
      <c r="F576" s="1333">
        <v>-48.514851485148512</v>
      </c>
      <c r="G576" s="1333">
        <v>-16.746411483253588</v>
      </c>
      <c r="H576" s="1333">
        <v>14.560439560439562</v>
      </c>
      <c r="I576" s="1333">
        <v>-10.786650774731823</v>
      </c>
      <c r="J576" s="1333">
        <v>45.549798815759672</v>
      </c>
      <c r="K576" s="1333">
        <v>-34.053268290232694</v>
      </c>
      <c r="L576" s="1333">
        <v>-11.666590267175669</v>
      </c>
      <c r="M576" s="1333">
        <v>27.194810628425365</v>
      </c>
      <c r="N576" s="1333">
        <v>-10.82566351975551</v>
      </c>
      <c r="O576" s="1333">
        <v>-0.90953613657034915</v>
      </c>
      <c r="P576" s="1334">
        <v>6.1042274052478138</v>
      </c>
      <c r="R576" s="231"/>
      <c r="S576" s="231"/>
      <c r="T576" s="231"/>
      <c r="U576" s="231"/>
      <c r="V576" s="231"/>
      <c r="W576" s="231"/>
      <c r="X576" s="231"/>
      <c r="Y576" s="231"/>
      <c r="Z576" s="231"/>
      <c r="AA576" s="231"/>
      <c r="AB576" s="231"/>
      <c r="AC576" s="231"/>
      <c r="AD576" s="427"/>
      <c r="AE576" s="427"/>
      <c r="AF576" s="427"/>
      <c r="AG576" s="427"/>
      <c r="AH576" s="427"/>
      <c r="AI576" s="427"/>
      <c r="AJ576" s="427"/>
      <c r="AK576" s="427"/>
      <c r="AL576" s="427"/>
      <c r="AM576" s="427"/>
      <c r="AN576" s="427"/>
      <c r="AO576" s="427"/>
    </row>
    <row r="577" spans="3:42" s="172" customFormat="1" ht="15" customHeight="1">
      <c r="C577" s="1202"/>
      <c r="D577" s="173" t="str">
        <f>IF(Indice_index!$Z$1=1,"março","March")</f>
        <v>March</v>
      </c>
      <c r="E577" s="1335">
        <v>8.7837837837837842</v>
      </c>
      <c r="F577" s="1335">
        <v>-63.513513513513509</v>
      </c>
      <c r="G577" s="1335">
        <v>-30.241187384044526</v>
      </c>
      <c r="H577" s="1335">
        <v>-16.095890410958905</v>
      </c>
      <c r="I577" s="1335">
        <v>-41.455301455301459</v>
      </c>
      <c r="J577" s="1335">
        <v>8.5940753215003394</v>
      </c>
      <c r="K577" s="1335">
        <v>-30.92030818300206</v>
      </c>
      <c r="L577" s="1335">
        <v>-41.223820233966045</v>
      </c>
      <c r="M577" s="1335">
        <v>-6.5820380084581718</v>
      </c>
      <c r="N577" s="1335">
        <v>-39.410469630938792</v>
      </c>
      <c r="O577" s="1335">
        <v>9.9517534384676356</v>
      </c>
      <c r="P577" s="1336">
        <v>-15.746924428822501</v>
      </c>
      <c r="R577" s="231"/>
      <c r="S577" s="231"/>
      <c r="T577" s="231"/>
      <c r="U577" s="231"/>
      <c r="V577" s="231"/>
      <c r="W577" s="231"/>
      <c r="X577" s="231"/>
      <c r="Y577" s="231"/>
      <c r="Z577" s="231"/>
      <c r="AA577" s="231"/>
      <c r="AB577" s="231"/>
      <c r="AC577" s="231"/>
      <c r="AD577" s="427"/>
      <c r="AE577" s="427"/>
      <c r="AF577" s="427"/>
      <c r="AG577" s="427"/>
      <c r="AH577" s="427"/>
      <c r="AI577" s="427"/>
      <c r="AJ577" s="427"/>
      <c r="AK577" s="427"/>
      <c r="AL577" s="427"/>
      <c r="AM577" s="427"/>
      <c r="AN577" s="427"/>
      <c r="AO577" s="427"/>
    </row>
    <row r="578" spans="3:42" s="230" customFormat="1" ht="15" customHeight="1">
      <c r="C578" s="1202"/>
      <c r="D578" s="173" t="str">
        <f>IF(Indice_index!$Z$1=1,"abril","April")</f>
        <v>April</v>
      </c>
      <c r="E578" s="1317">
        <v>3.9750584567420111</v>
      </c>
      <c r="F578" s="1317">
        <v>-6.9444444444444446</v>
      </c>
      <c r="G578" s="1317">
        <v>-24.595469255663431</v>
      </c>
      <c r="H578" s="1317">
        <v>-9.95754534928599</v>
      </c>
      <c r="I578" s="1317">
        <v>-27.38821138211382</v>
      </c>
      <c r="J578" s="1317">
        <v>10.23626176330926</v>
      </c>
      <c r="K578" s="1317">
        <v>-0.726983799668946</v>
      </c>
      <c r="L578" s="1317">
        <v>-30.943539529049314</v>
      </c>
      <c r="M578" s="1317">
        <v>-1.383180120779361</v>
      </c>
      <c r="N578" s="1317">
        <v>-27.141627720027167</v>
      </c>
      <c r="O578" s="1317">
        <v>6.2143218440638766</v>
      </c>
      <c r="P578" s="1317">
        <v>-8.4173913043478219</v>
      </c>
      <c r="R578" s="231"/>
      <c r="S578" s="231"/>
      <c r="T578" s="231"/>
      <c r="U578" s="231"/>
      <c r="V578" s="231"/>
      <c r="W578" s="231"/>
      <c r="X578" s="231"/>
      <c r="Y578" s="231"/>
      <c r="Z578" s="231"/>
      <c r="AA578" s="231"/>
      <c r="AB578" s="231"/>
      <c r="AC578" s="231"/>
      <c r="AD578" s="427"/>
      <c r="AE578" s="427"/>
      <c r="AF578" s="427"/>
      <c r="AG578" s="427"/>
      <c r="AH578" s="427"/>
      <c r="AI578" s="427"/>
      <c r="AJ578" s="427"/>
      <c r="AK578" s="427"/>
      <c r="AL578" s="427"/>
      <c r="AM578" s="427"/>
      <c r="AN578" s="427"/>
      <c r="AO578" s="427"/>
      <c r="AP578" s="172"/>
    </row>
    <row r="579" spans="3:42" s="230" customFormat="1" ht="15" customHeight="1">
      <c r="C579" s="1202"/>
      <c r="D579" s="173" t="str">
        <f>IF(Indice_index!$Z$1=1,"maio","May")</f>
        <v>May</v>
      </c>
      <c r="E579" s="1326">
        <v>18.807339449541285</v>
      </c>
      <c r="F579" s="1326">
        <v>-30</v>
      </c>
      <c r="G579" s="1326">
        <v>-20.821114369501466</v>
      </c>
      <c r="H579" s="1326">
        <v>0</v>
      </c>
      <c r="I579" s="1326">
        <v>7.9491255961844196</v>
      </c>
      <c r="J579" s="1326">
        <v>38.494988235755002</v>
      </c>
      <c r="K579" s="1326">
        <v>-35.02629038086301</v>
      </c>
      <c r="L579" s="1326">
        <v>-17.264874383035178</v>
      </c>
      <c r="M579" s="1326">
        <v>22.220851039469331</v>
      </c>
      <c r="N579" s="1326">
        <v>10.554701472596266</v>
      </c>
      <c r="O579" s="1326">
        <v>16.041030117852468</v>
      </c>
      <c r="P579" s="1326">
        <v>4.4960383268840936</v>
      </c>
      <c r="R579" s="231"/>
      <c r="S579" s="231"/>
      <c r="T579" s="231"/>
      <c r="U579" s="231"/>
      <c r="V579" s="231"/>
      <c r="W579" s="231"/>
      <c r="X579" s="231"/>
      <c r="Y579" s="231"/>
      <c r="Z579" s="231"/>
      <c r="AA579" s="231"/>
      <c r="AB579" s="231"/>
      <c r="AC579" s="231"/>
      <c r="AD579" s="427"/>
      <c r="AE579" s="427"/>
      <c r="AF579" s="427"/>
      <c r="AG579" s="427"/>
      <c r="AH579" s="427"/>
      <c r="AI579" s="427"/>
      <c r="AJ579" s="427"/>
      <c r="AK579" s="427"/>
      <c r="AL579" s="427"/>
      <c r="AM579" s="427"/>
      <c r="AN579" s="427"/>
      <c r="AO579" s="427"/>
      <c r="AP579" s="172"/>
    </row>
    <row r="580" spans="3:42" s="230" customFormat="1" ht="15" hidden="1" customHeight="1">
      <c r="C580" s="1202"/>
      <c r="D580" s="173" t="str">
        <f>IF(Indice_index!$Z$1=1,"junho","June")</f>
        <v>June</v>
      </c>
      <c r="E580" s="1327"/>
      <c r="F580" s="1327"/>
      <c r="G580" s="1327"/>
      <c r="H580" s="1327"/>
      <c r="I580" s="1327"/>
      <c r="J580" s="1327"/>
      <c r="K580" s="1327"/>
      <c r="L580" s="1327"/>
      <c r="M580" s="1327"/>
      <c r="N580" s="1327"/>
      <c r="O580" s="1327"/>
      <c r="P580" s="1327"/>
      <c r="R580" s="231"/>
      <c r="S580" s="231"/>
      <c r="T580" s="231"/>
      <c r="U580" s="231"/>
      <c r="V580" s="231"/>
      <c r="W580" s="231"/>
      <c r="X580" s="231"/>
      <c r="Y580" s="231"/>
      <c r="Z580" s="231"/>
      <c r="AA580" s="231"/>
      <c r="AB580" s="231"/>
      <c r="AC580" s="231"/>
    </row>
    <row r="581" spans="3:42" s="230" customFormat="1" ht="15" hidden="1" customHeight="1">
      <c r="C581" s="1202"/>
      <c r="D581" s="173" t="str">
        <f>IF(Indice_index!$Z$1=1,"julho","July")</f>
        <v>July</v>
      </c>
      <c r="E581" s="1328"/>
      <c r="F581" s="1328"/>
      <c r="G581" s="1328"/>
      <c r="H581" s="1328"/>
      <c r="I581" s="1328"/>
      <c r="J581" s="1328"/>
      <c r="K581" s="1328"/>
      <c r="L581" s="1328"/>
      <c r="M581" s="1328"/>
      <c r="N581" s="1328"/>
      <c r="O581" s="1328"/>
      <c r="P581" s="1328"/>
      <c r="R581" s="231"/>
      <c r="S581" s="231"/>
      <c r="T581" s="231"/>
      <c r="U581" s="231"/>
      <c r="V581" s="231"/>
      <c r="W581" s="231"/>
      <c r="X581" s="231"/>
      <c r="Y581" s="231"/>
      <c r="Z581" s="231"/>
      <c r="AA581" s="231"/>
      <c r="AB581" s="231"/>
      <c r="AC581" s="231"/>
    </row>
    <row r="582" spans="3:42" s="230" customFormat="1" ht="15" hidden="1" customHeight="1">
      <c r="C582" s="1202"/>
      <c r="D582" s="173" t="str">
        <f>IF(Indice_index!$Z$1=1,"agosto","August")</f>
        <v>August</v>
      </c>
      <c r="E582" s="1329"/>
      <c r="F582" s="1329"/>
      <c r="G582" s="1329"/>
      <c r="H582" s="1329"/>
      <c r="I582" s="1329"/>
      <c r="J582" s="1329"/>
      <c r="K582" s="1329"/>
      <c r="L582" s="1329"/>
      <c r="M582" s="1329"/>
      <c r="N582" s="1329"/>
      <c r="O582" s="1329"/>
      <c r="P582" s="1329"/>
    </row>
    <row r="583" spans="3:42" s="172" customFormat="1" ht="15" hidden="1" customHeight="1">
      <c r="C583" s="1202"/>
      <c r="D583" s="173" t="str">
        <f>IF(Indice_index!$Z$1=1,"setembro","September")</f>
        <v>September</v>
      </c>
      <c r="E583" s="1330"/>
      <c r="F583" s="1330"/>
      <c r="G583" s="1330"/>
      <c r="H583" s="1330"/>
      <c r="I583" s="1330"/>
      <c r="J583" s="1330"/>
      <c r="K583" s="1330"/>
      <c r="L583" s="1330"/>
      <c r="M583" s="1330"/>
      <c r="N583" s="1330"/>
      <c r="O583" s="1330"/>
      <c r="P583" s="1330"/>
      <c r="R583" s="230"/>
      <c r="S583" s="230"/>
      <c r="T583" s="230"/>
      <c r="U583" s="230"/>
      <c r="V583" s="230"/>
      <c r="W583" s="230"/>
      <c r="X583" s="230"/>
      <c r="Y583" s="230"/>
      <c r="Z583" s="230"/>
      <c r="AA583" s="230"/>
      <c r="AB583" s="230"/>
      <c r="AC583" s="230"/>
    </row>
    <row r="584" spans="3:42" s="172" customFormat="1" ht="15" hidden="1" customHeight="1">
      <c r="C584" s="1202"/>
      <c r="D584" s="173" t="str">
        <f>IF(Indice_index!$Z$1=1,"outubro","October")</f>
        <v>October</v>
      </c>
      <c r="E584" s="1321"/>
      <c r="F584" s="1321"/>
      <c r="G584" s="1321"/>
      <c r="H584" s="1321"/>
      <c r="I584" s="1321"/>
      <c r="J584" s="1321"/>
      <c r="K584" s="1321"/>
      <c r="L584" s="1321"/>
      <c r="M584" s="1321"/>
      <c r="N584" s="1321"/>
      <c r="O584" s="1321"/>
      <c r="P584" s="1321"/>
      <c r="R584" s="230"/>
      <c r="S584" s="230"/>
      <c r="T584" s="230"/>
      <c r="U584" s="230"/>
      <c r="V584" s="230"/>
      <c r="W584" s="230"/>
      <c r="X584" s="230"/>
      <c r="Y584" s="230"/>
      <c r="Z584" s="230"/>
      <c r="AA584" s="230"/>
      <c r="AB584" s="230"/>
      <c r="AC584" s="230"/>
    </row>
    <row r="585" spans="3:42" s="172" customFormat="1" ht="15" hidden="1" customHeight="1">
      <c r="C585" s="1202"/>
      <c r="D585" s="173" t="str">
        <f>IF(Indice_index!$Z$1=1,"novembro","November")</f>
        <v>November</v>
      </c>
      <c r="E585" s="1322"/>
      <c r="F585" s="1322"/>
      <c r="G585" s="1322"/>
      <c r="H585" s="1322"/>
      <c r="I585" s="1322"/>
      <c r="J585" s="1322"/>
      <c r="K585" s="1322"/>
      <c r="L585" s="1322"/>
      <c r="M585" s="1322"/>
      <c r="N585" s="1322"/>
      <c r="O585" s="1322"/>
      <c r="P585" s="1322"/>
      <c r="R585" s="230"/>
      <c r="S585" s="230"/>
      <c r="T585" s="230"/>
      <c r="U585" s="230"/>
      <c r="V585" s="230"/>
      <c r="W585" s="230"/>
      <c r="X585" s="230"/>
      <c r="Y585" s="230"/>
      <c r="Z585" s="230"/>
      <c r="AA585" s="230"/>
      <c r="AB585" s="230"/>
      <c r="AC585" s="230"/>
    </row>
    <row r="586" spans="3:42" s="172" customFormat="1" ht="15" hidden="1" customHeight="1">
      <c r="C586" s="1202"/>
      <c r="D586" s="173" t="str">
        <f>IF(Indice_index!$Z$1=1,"dezembro","December")</f>
        <v>December</v>
      </c>
      <c r="E586" s="1331"/>
      <c r="F586" s="1331"/>
      <c r="G586" s="1331"/>
      <c r="H586" s="1331"/>
      <c r="I586" s="1331"/>
      <c r="J586" s="1331"/>
      <c r="K586" s="1331"/>
      <c r="L586" s="1331"/>
      <c r="M586" s="1331"/>
      <c r="N586" s="1331"/>
      <c r="O586" s="1331"/>
      <c r="P586" s="1331"/>
      <c r="R586" s="230"/>
      <c r="S586" s="230"/>
      <c r="T586" s="230"/>
      <c r="U586" s="230"/>
      <c r="V586" s="230"/>
      <c r="W586" s="230"/>
      <c r="X586" s="230"/>
      <c r="Y586" s="230"/>
      <c r="Z586" s="230"/>
      <c r="AA586" s="230"/>
      <c r="AB586" s="230"/>
      <c r="AC586" s="230"/>
    </row>
    <row r="587" spans="3:42" s="230" customFormat="1" ht="3" customHeight="1">
      <c r="C587" s="1196"/>
      <c r="D587" s="1197"/>
      <c r="E587" s="1197"/>
      <c r="F587" s="1197"/>
      <c r="G587" s="1197"/>
      <c r="H587" s="1197"/>
      <c r="I587" s="1197"/>
      <c r="J587" s="1197"/>
      <c r="K587" s="1197"/>
      <c r="L587" s="1197"/>
      <c r="M587" s="1197"/>
      <c r="N587" s="1197"/>
      <c r="O587" s="1197"/>
      <c r="P587" s="1197"/>
    </row>
    <row r="588" spans="3:42" s="230" customFormat="1" ht="4.5" customHeight="1">
      <c r="C588" s="1337"/>
      <c r="D588" s="172"/>
      <c r="E588" s="1164"/>
      <c r="F588" s="1164"/>
      <c r="G588" s="1164"/>
      <c r="H588" s="1164"/>
      <c r="I588" s="1164"/>
      <c r="J588" s="1164"/>
      <c r="K588" s="1164"/>
      <c r="L588" s="1164"/>
      <c r="M588" s="1164"/>
      <c r="N588" s="1164"/>
      <c r="O588" s="1164"/>
      <c r="P588" s="1164"/>
      <c r="X588" s="50"/>
      <c r="Y588" s="50"/>
      <c r="Z588" s="50"/>
      <c r="AA588" s="171"/>
    </row>
    <row r="589" spans="3:42" s="230" customFormat="1" ht="5.0999999999999996" customHeight="1">
      <c r="C589" s="1337"/>
      <c r="L589" s="172"/>
      <c r="M589" s="172"/>
      <c r="N589" s="172"/>
      <c r="O589" s="172"/>
      <c r="P589" s="172"/>
      <c r="X589" s="50"/>
      <c r="Y589" s="50"/>
      <c r="Z589" s="50"/>
      <c r="AA589" s="171"/>
    </row>
    <row r="590" spans="3:42" s="230" customFormat="1" ht="15" customHeight="1">
      <c r="C590" s="1338" t="str">
        <f>IF(Indice_index!$Z$1=1,"Notas:","Notes:")</f>
        <v>Notes:</v>
      </c>
      <c r="X590" s="50"/>
      <c r="Y590" s="50"/>
      <c r="Z590" s="50"/>
      <c r="AA590" s="171"/>
    </row>
    <row r="591" spans="3:42" s="230" customFormat="1" ht="31.5" customHeight="1">
      <c r="C591" s="1755" t="str">
        <f>IF(Indice_index!$Z$1=1,C594,C595)</f>
        <v>From the 1st July 2014, the responsibility on pension supplements, previously paid by the Military Forces Pension Fund, was transferred to the CGA. This is reflected in the "Survival and Other" component.</v>
      </c>
      <c r="D591" s="1755"/>
      <c r="E591" s="1755"/>
      <c r="F591" s="1755"/>
      <c r="G591" s="1755"/>
      <c r="H591" s="1755"/>
      <c r="I591" s="1755"/>
      <c r="J591" s="1755"/>
      <c r="K591" s="1755"/>
      <c r="L591" s="1755"/>
      <c r="M591" s="1755"/>
      <c r="N591" s="1755"/>
      <c r="O591" s="1755"/>
      <c r="P591" s="1755"/>
      <c r="X591" s="50"/>
      <c r="Y591" s="50"/>
      <c r="Z591" s="50"/>
      <c r="AA591" s="171"/>
    </row>
    <row r="592" spans="3:42" s="230" customFormat="1" ht="34.5" customHeight="1">
      <c r="C592" s="1755" t="str">
        <f>IF(Indice_index!$Z$1=1,C596,C597)</f>
        <v>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v>
      </c>
      <c r="D592" s="1755"/>
      <c r="E592" s="1755"/>
      <c r="F592" s="1755"/>
      <c r="G592" s="1755"/>
      <c r="H592" s="1755"/>
      <c r="I592" s="1755"/>
      <c r="J592" s="1755"/>
      <c r="K592" s="1755"/>
      <c r="L592" s="1755"/>
      <c r="M592" s="1755"/>
      <c r="N592" s="1755"/>
      <c r="O592" s="1755"/>
      <c r="P592" s="1755"/>
      <c r="X592" s="50"/>
      <c r="Y592" s="50"/>
      <c r="Z592" s="50"/>
      <c r="AA592" s="171"/>
    </row>
    <row r="593" spans="1:27" s="230" customFormat="1" ht="5.0999999999999996" customHeight="1">
      <c r="C593" s="1337"/>
      <c r="L593" s="172"/>
      <c r="M593" s="172"/>
      <c r="N593" s="172"/>
      <c r="O593" s="172"/>
      <c r="P593" s="172"/>
      <c r="X593" s="50"/>
      <c r="Y593" s="50"/>
      <c r="Z593" s="50"/>
      <c r="AA593" s="171"/>
    </row>
    <row r="594" spans="1:27" s="174" customFormat="1" ht="26.25" hidden="1" customHeight="1">
      <c r="C594" s="1756" t="s">
        <v>58</v>
      </c>
      <c r="D594" s="1756"/>
      <c r="E594" s="1756"/>
      <c r="F594" s="1756"/>
      <c r="G594" s="1756"/>
      <c r="H594" s="1756"/>
      <c r="I594" s="1756"/>
      <c r="J594" s="1756"/>
      <c r="K594" s="1756"/>
      <c r="L594" s="1756"/>
      <c r="M594" s="1756"/>
      <c r="N594" s="1756"/>
      <c r="O594" s="1756"/>
      <c r="P594" s="1756"/>
      <c r="X594" s="104"/>
      <c r="Y594" s="104"/>
      <c r="Z594" s="104"/>
      <c r="AA594" s="175"/>
    </row>
    <row r="595" spans="1:27" s="174" customFormat="1" ht="15" hidden="1" customHeight="1">
      <c r="C595" s="1339" t="s">
        <v>15</v>
      </c>
      <c r="X595" s="104"/>
      <c r="Y595" s="104"/>
      <c r="Z595" s="104"/>
      <c r="AA595" s="175"/>
    </row>
    <row r="596" spans="1:27" s="174" customFormat="1" ht="36.75" hidden="1" customHeight="1">
      <c r="C596" s="1756" t="s">
        <v>56</v>
      </c>
      <c r="D596" s="1756"/>
      <c r="E596" s="1756"/>
      <c r="F596" s="1756"/>
      <c r="G596" s="1756"/>
      <c r="H596" s="1756"/>
      <c r="I596" s="1756"/>
      <c r="J596" s="1756"/>
      <c r="K596" s="1756"/>
      <c r="L596" s="1756"/>
      <c r="M596" s="1756"/>
      <c r="N596" s="1756"/>
      <c r="O596" s="1756"/>
      <c r="P596" s="1756"/>
      <c r="X596" s="104"/>
      <c r="Y596" s="104"/>
      <c r="Z596" s="104"/>
      <c r="AA596" s="175"/>
    </row>
    <row r="597" spans="1:27" s="174" customFormat="1" ht="36.75" hidden="1" customHeight="1">
      <c r="C597" s="1756" t="s">
        <v>57</v>
      </c>
      <c r="D597" s="1756"/>
      <c r="E597" s="1756"/>
      <c r="F597" s="1756"/>
      <c r="G597" s="1756"/>
      <c r="H597" s="1756"/>
      <c r="I597" s="1756"/>
      <c r="J597" s="1756"/>
      <c r="K597" s="1756"/>
      <c r="L597" s="1756"/>
      <c r="M597" s="1756"/>
      <c r="N597" s="1756"/>
      <c r="O597" s="1756"/>
      <c r="P597" s="1756"/>
      <c r="X597" s="104"/>
      <c r="Y597" s="104"/>
      <c r="Z597" s="104"/>
      <c r="AA597" s="175"/>
    </row>
    <row r="598" spans="1:27" s="230" customFormat="1" ht="15" customHeight="1">
      <c r="C598" s="230" t="str">
        <f>IF(Indice_index!$Z$1=1,"Fonte: Caixa Geral de Aposentações, I.P.","Source: CGA - Public Servants Social Scheme")</f>
        <v>Source: CGA - Public Servants Social Scheme</v>
      </c>
      <c r="L598" s="172"/>
      <c r="M598" s="172"/>
      <c r="N598" s="172"/>
      <c r="O598" s="172"/>
      <c r="P598" s="172"/>
      <c r="X598" s="50"/>
      <c r="Y598" s="50"/>
      <c r="Z598" s="50"/>
      <c r="AA598" s="171"/>
    </row>
    <row r="599" spans="1:27" s="230" customFormat="1">
      <c r="L599" s="172"/>
      <c r="M599" s="172"/>
      <c r="N599" s="172"/>
      <c r="O599" s="172"/>
      <c r="P599" s="172"/>
      <c r="X599" s="50"/>
      <c r="Y599" s="50"/>
      <c r="Z599" s="50"/>
      <c r="AA599" s="171"/>
    </row>
    <row r="600" spans="1:27">
      <c r="A600" s="230"/>
      <c r="B600" s="230"/>
      <c r="C600" s="230"/>
      <c r="D600" s="230"/>
      <c r="E600" s="230"/>
      <c r="F600" s="230"/>
      <c r="G600" s="230"/>
      <c r="H600" s="230"/>
      <c r="I600" s="230"/>
      <c r="J600" s="230"/>
      <c r="K600" s="230"/>
      <c r="Q600" s="230"/>
    </row>
    <row r="601" spans="1:27">
      <c r="A601" s="230"/>
      <c r="B601" s="230"/>
      <c r="C601" s="230"/>
      <c r="D601" s="230"/>
      <c r="E601" s="230"/>
      <c r="F601" s="230"/>
      <c r="G601" s="230"/>
      <c r="H601" s="230"/>
      <c r="I601" s="230"/>
      <c r="J601" s="230"/>
      <c r="K601" s="230"/>
      <c r="Q601" s="230"/>
    </row>
  </sheetData>
  <mergeCells count="27">
    <mergeCell ref="E6:H6"/>
    <mergeCell ref="I6:I7"/>
    <mergeCell ref="K6:K7"/>
    <mergeCell ref="E155:H155"/>
    <mergeCell ref="I155:I156"/>
    <mergeCell ref="K155:K156"/>
    <mergeCell ref="E304:I304"/>
    <mergeCell ref="J304:N304"/>
    <mergeCell ref="O304:O306"/>
    <mergeCell ref="P304:P306"/>
    <mergeCell ref="E305:H305"/>
    <mergeCell ref="I305:I306"/>
    <mergeCell ref="J305:M305"/>
    <mergeCell ref="N305:N306"/>
    <mergeCell ref="E454:I454"/>
    <mergeCell ref="J454:N454"/>
    <mergeCell ref="O454:O456"/>
    <mergeCell ref="P454:P456"/>
    <mergeCell ref="E455:H455"/>
    <mergeCell ref="I455:I456"/>
    <mergeCell ref="J455:M455"/>
    <mergeCell ref="N455:N456"/>
    <mergeCell ref="C591:P591"/>
    <mergeCell ref="C592:P592"/>
    <mergeCell ref="C594:P594"/>
    <mergeCell ref="C596:P596"/>
    <mergeCell ref="C597:P597"/>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1" max="16" man="1"/>
    <brk id="451"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0"/>
  <sheetViews>
    <sheetView showGridLines="0" view="pageBreakPreview" zoomScaleNormal="100" zoomScaleSheetLayoutView="100" workbookViewId="0">
      <selection activeCell="B2" sqref="B2"/>
    </sheetView>
  </sheetViews>
  <sheetFormatPr defaultColWidth="10" defaultRowHeight="15"/>
  <cols>
    <col min="1" max="1" width="1.85546875" style="176" customWidth="1"/>
    <col min="2" max="2" width="4.42578125" style="176" customWidth="1"/>
    <col min="3" max="3" width="77.42578125" style="176" customWidth="1"/>
    <col min="4" max="4" width="8.5703125" style="176" customWidth="1"/>
    <col min="5" max="5" width="21.7109375" style="177" hidden="1" customWidth="1"/>
    <col min="6" max="6" width="2.5703125" style="97" customWidth="1"/>
    <col min="7" max="7" width="8.5703125" style="176" hidden="1" customWidth="1"/>
    <col min="8" max="11" width="8.5703125" style="176" customWidth="1"/>
    <col min="12" max="18" width="8.5703125" style="176" hidden="1" customWidth="1"/>
    <col min="19" max="19" width="8.85546875" style="176" customWidth="1"/>
    <col min="20" max="20" width="10.42578125" style="176" customWidth="1"/>
    <col min="21" max="21" width="2.5703125" style="97" customWidth="1"/>
    <col min="22" max="22" width="8.5703125" style="176" hidden="1" customWidth="1"/>
    <col min="23" max="26" width="8.5703125" style="176" customWidth="1"/>
    <col min="27" max="33" width="8.5703125" style="176" hidden="1" customWidth="1"/>
    <col min="34" max="34" width="10.42578125" style="176" customWidth="1"/>
    <col min="35" max="35" width="10" style="176"/>
    <col min="36" max="36" width="18.85546875" style="234" bestFit="1" customWidth="1"/>
    <col min="37" max="42" width="10" style="234"/>
    <col min="43" max="43" width="10" style="235"/>
    <col min="44" max="63" width="10" style="234"/>
    <col min="64" max="64" width="10" style="422"/>
    <col min="65" max="16384" width="10" style="176"/>
  </cols>
  <sheetData>
    <row r="1" spans="2:64" ht="15" customHeight="1">
      <c r="G1" s="179"/>
      <c r="V1" s="179"/>
    </row>
    <row r="2" spans="2:64" ht="24" customHeight="1">
      <c r="B2" s="8"/>
      <c r="C2" s="51" t="str">
        <f>IF(Indice_index!$Z$1=1,"20 - Efeitos temporários/especiais na conta da Administração Central e Segurança Social","20 - Temporary/special effects on the Central Government and Social Security Account")</f>
        <v>20 - Temporary/special effects on the Central Government and Social Security Account</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340"/>
      <c r="D4" s="180"/>
      <c r="E4" s="1341"/>
      <c r="G4" s="1342"/>
      <c r="H4" s="1342"/>
      <c r="I4" s="1342"/>
      <c r="J4" s="1342"/>
      <c r="K4" s="1342"/>
      <c r="L4" s="180"/>
      <c r="M4" s="180"/>
      <c r="N4" s="180"/>
      <c r="O4" s="180"/>
      <c r="P4" s="180"/>
      <c r="Q4" s="180"/>
      <c r="R4" s="180"/>
      <c r="S4" s="180"/>
      <c r="T4" s="1342"/>
      <c r="V4" s="1342"/>
      <c r="W4" s="1342"/>
      <c r="X4" s="1342"/>
      <c r="Y4" s="1342"/>
      <c r="Z4" s="1342"/>
      <c r="AA4" s="180"/>
      <c r="AB4" s="180"/>
      <c r="AC4" s="180"/>
      <c r="AD4" s="180"/>
      <c r="AE4" s="180"/>
      <c r="AF4" s="180"/>
      <c r="AG4" s="180"/>
      <c r="AH4" s="1342" t="str">
        <f>IF(Indice_index!$Z$1=1,"€ Milhões","€ Millions")</f>
        <v>€ Millions</v>
      </c>
    </row>
    <row r="5" spans="2:64" ht="27" customHeight="1">
      <c r="C5" s="1343"/>
      <c r="D5" s="1343"/>
      <c r="E5" s="1344" t="str">
        <f>IF(Indice_index!$Z$1=1,"Classificação económica","Economic classification")</f>
        <v>Economic classification</v>
      </c>
      <c r="F5" s="1345"/>
      <c r="G5" s="1765" t="str">
        <f>IF(Indice_index!$Z$1=1,"2021 - mensal e acumulado","2021 - monthly and cumulative")</f>
        <v>2021 - monthly and cumulative</v>
      </c>
      <c r="H5" s="1765" t="s">
        <v>16</v>
      </c>
      <c r="I5" s="1765" t="s">
        <v>16</v>
      </c>
      <c r="J5" s="1765" t="s">
        <v>16</v>
      </c>
      <c r="K5" s="1765" t="s">
        <v>16</v>
      </c>
      <c r="L5" s="1765" t="s">
        <v>16</v>
      </c>
      <c r="M5" s="1765" t="s">
        <v>16</v>
      </c>
      <c r="N5" s="1765" t="s">
        <v>16</v>
      </c>
      <c r="O5" s="1765" t="s">
        <v>16</v>
      </c>
      <c r="P5" s="1765" t="s">
        <v>16</v>
      </c>
      <c r="Q5" s="1765" t="s">
        <v>16</v>
      </c>
      <c r="R5" s="1765" t="s">
        <v>16</v>
      </c>
      <c r="S5" s="1765"/>
      <c r="T5" s="1765" t="s">
        <v>16</v>
      </c>
      <c r="U5" s="1345"/>
      <c r="V5" s="1765" t="str">
        <f>IF(Indice_index!$Z$1=1,"2022 - mensal e acumulado","2022 - monthly and cumulative")</f>
        <v>2022 - monthly and cumulative</v>
      </c>
      <c r="W5" s="1765" t="s">
        <v>16</v>
      </c>
      <c r="X5" s="1765" t="s">
        <v>16</v>
      </c>
      <c r="Y5" s="1765" t="s">
        <v>16</v>
      </c>
      <c r="Z5" s="1765" t="s">
        <v>16</v>
      </c>
      <c r="AA5" s="1765" t="s">
        <v>16</v>
      </c>
      <c r="AB5" s="1765" t="s">
        <v>16</v>
      </c>
      <c r="AC5" s="1765" t="s">
        <v>16</v>
      </c>
      <c r="AD5" s="1765" t="s">
        <v>16</v>
      </c>
      <c r="AE5" s="1765" t="s">
        <v>16</v>
      </c>
      <c r="AF5" s="1765" t="s">
        <v>16</v>
      </c>
      <c r="AG5" s="1765" t="s">
        <v>16</v>
      </c>
      <c r="AH5" s="1765" t="s">
        <v>16</v>
      </c>
    </row>
    <row r="6" spans="2:64" ht="22.35" customHeight="1">
      <c r="C6" s="1343"/>
      <c r="D6" s="1344"/>
      <c r="E6" s="1344"/>
      <c r="G6" s="1344" t="str">
        <f>IF(Indice_index!$Z$1=1,"jan","Jan")</f>
        <v>Jan</v>
      </c>
      <c r="H6" s="1344" t="str">
        <f>IF(Indice_index!$Z$1=1,"fev","Feb")</f>
        <v>Feb</v>
      </c>
      <c r="I6" s="1344" t="str">
        <f>IF(Indice_index!$Z$1=1,"mar","Mar")</f>
        <v>Mar</v>
      </c>
      <c r="J6" s="1344" t="str">
        <f>IF(Indice_index!$Z$1=1,"abr","Apr")</f>
        <v>Apr</v>
      </c>
      <c r="K6" s="1344" t="str">
        <f>IF(Indice_index!$Z$1=1,"mai","May")</f>
        <v>May</v>
      </c>
      <c r="L6" s="1344" t="str">
        <f>IF(Indice_index!$Z$1=1,"jun","Jun")</f>
        <v>Jun</v>
      </c>
      <c r="M6" s="1344" t="str">
        <f>IF(Indice_index!$Z$1=1,"jul","Jul")</f>
        <v>Jul</v>
      </c>
      <c r="N6" s="1344" t="str">
        <f>IF(Indice_index!$Z$1=1,"ago","Aug")</f>
        <v>Aug</v>
      </c>
      <c r="O6" s="1344" t="str">
        <f>IF(Indice_index!$Z$1=1,"set","Sep")</f>
        <v>Sep</v>
      </c>
      <c r="P6" s="1344" t="str">
        <f>IF(Indice_index!$Z$1=1,"out","Oct")</f>
        <v>Oct</v>
      </c>
      <c r="Q6" s="1344" t="str">
        <f>IF(Indice_index!$Z$1=1,"nov","Nov")</f>
        <v>Nov</v>
      </c>
      <c r="R6" s="1344" t="str">
        <f>IF(Indice_index!$Z$1=1,"dez","Dec")</f>
        <v>Dec</v>
      </c>
      <c r="S6" s="1344" t="str">
        <f>IF(Indice_index!$Z$1=1,"Ano até à data","Year to date")</f>
        <v>Year to date</v>
      </c>
      <c r="T6" s="1344" t="str">
        <f>IF(Indice_index!$Z$1=1,"Acumulado","Cumulative")</f>
        <v>Cumulative</v>
      </c>
      <c r="V6" s="1344" t="str">
        <f>IF(Indice_index!$Z$1=1,"jan","Jan")</f>
        <v>Jan</v>
      </c>
      <c r="W6" s="1344" t="str">
        <f>IF(Indice_index!$Z$1=1,"fev","Feb")</f>
        <v>Feb</v>
      </c>
      <c r="X6" s="1344" t="str">
        <f>IF(Indice_index!$Z$1=1,"mar","Mar")</f>
        <v>Mar</v>
      </c>
      <c r="Y6" s="1344" t="str">
        <f>IF(Indice_index!$Z$1=1,"abr","Apr")</f>
        <v>Apr</v>
      </c>
      <c r="Z6" s="1344" t="str">
        <f>IF(Indice_index!$Z$1=1,"mai","May")</f>
        <v>May</v>
      </c>
      <c r="AA6" s="1344" t="str">
        <f>IF(Indice_index!$Z$1=1,"jun","Jun")</f>
        <v>Jun</v>
      </c>
      <c r="AB6" s="1344" t="str">
        <f>IF(Indice_index!$Z$1=1,"jul","Jul")</f>
        <v>Jul</v>
      </c>
      <c r="AC6" s="1344" t="str">
        <f>IF(Indice_index!$Z$1=1,"ago","Aug")</f>
        <v>Aug</v>
      </c>
      <c r="AD6" s="1344" t="str">
        <f>IF(Indice_index!$Z$1=1,"set","Sep")</f>
        <v>Sep</v>
      </c>
      <c r="AE6" s="1344" t="str">
        <f>IF(Indice_index!$Z$1=1,"out","Oct")</f>
        <v>Oct</v>
      </c>
      <c r="AF6" s="1344" t="str">
        <f>IF(Indice_index!$Z$1=1,"nov","Nov")</f>
        <v>Nov</v>
      </c>
      <c r="AG6" s="1344" t="str">
        <f>IF(Indice_index!$Z$1=1,"dez","Dec")</f>
        <v>Dec</v>
      </c>
      <c r="AH6" s="1344" t="str">
        <f>IF(Indice_index!$Z$1=1,"Acumulado","Cumulative")</f>
        <v>Cumulative</v>
      </c>
    </row>
    <row r="7" spans="2:64" ht="4.5" customHeight="1">
      <c r="D7" s="1188"/>
      <c r="E7" s="1346"/>
      <c r="G7" s="1346"/>
      <c r="H7" s="1346"/>
      <c r="I7" s="1346"/>
      <c r="J7" s="1346"/>
      <c r="K7" s="1346"/>
      <c r="L7" s="1346"/>
      <c r="M7" s="1346"/>
      <c r="N7" s="1346"/>
      <c r="O7" s="1346"/>
      <c r="P7" s="1346"/>
      <c r="Q7" s="1346"/>
      <c r="R7" s="1346"/>
      <c r="S7" s="1346"/>
      <c r="T7" s="1346"/>
      <c r="V7" s="1346"/>
      <c r="W7" s="1346"/>
      <c r="X7" s="1346"/>
      <c r="Y7" s="1346"/>
      <c r="Z7" s="1346"/>
      <c r="AA7" s="1346"/>
      <c r="AB7" s="1346"/>
      <c r="AC7" s="1346"/>
      <c r="AD7" s="1346"/>
      <c r="AE7" s="1346"/>
      <c r="AF7" s="1346"/>
      <c r="AG7" s="1346"/>
      <c r="AH7" s="1346"/>
    </row>
    <row r="8" spans="2:64" s="319" customFormat="1" ht="15" customHeight="1">
      <c r="C8" s="320" t="str">
        <f>IF(Indice_index!$Z$1=1,"Receita corrente","Current revenue")</f>
        <v>Current revenue</v>
      </c>
      <c r="D8" s="1347"/>
      <c r="E8" s="1347"/>
      <c r="F8" s="251"/>
      <c r="G8" s="1347">
        <f>+G9+G10+G12+G15+G11</f>
        <v>58.729722030000005</v>
      </c>
      <c r="H8" s="1347">
        <f>+H9+H10+H12+H15+H11</f>
        <v>49.319399959999998</v>
      </c>
      <c r="I8" s="1347">
        <f t="shared" ref="I8:J8" si="0">+I9+I10+I12+I15+I11</f>
        <v>128.68634004999998</v>
      </c>
      <c r="J8" s="1347">
        <f t="shared" si="0"/>
        <v>69.781900579999984</v>
      </c>
      <c r="K8" s="1347">
        <f>+K9+K10+K12+K15+K11</f>
        <v>375.48363393000005</v>
      </c>
      <c r="L8" s="1347">
        <f t="shared" ref="L8:N8" si="1">+L9+L10+L12+L15+L11</f>
        <v>89.418738279999999</v>
      </c>
      <c r="M8" s="1347">
        <f t="shared" si="1"/>
        <v>22.32705601</v>
      </c>
      <c r="N8" s="1347">
        <f t="shared" si="1"/>
        <v>16.159748709999999</v>
      </c>
      <c r="O8" s="1347">
        <f>+O9+O10+O12+O15+O11</f>
        <v>22.437207060000002</v>
      </c>
      <c r="P8" s="1347">
        <f t="shared" ref="P8:R8" si="2">+P9+P10+P12+P15+P11</f>
        <v>74.431590709999995</v>
      </c>
      <c r="Q8" s="1347">
        <f t="shared" si="2"/>
        <v>653.0488730300001</v>
      </c>
      <c r="R8" s="1347">
        <f t="shared" si="2"/>
        <v>552.70443967999995</v>
      </c>
      <c r="S8" s="1347">
        <f>+S9+S10+S12+S15+S11</f>
        <v>682.00099655000008</v>
      </c>
      <c r="T8" s="1347">
        <f t="shared" ref="T8" si="3">SUM(G8:R8)</f>
        <v>2112.5286500299999</v>
      </c>
      <c r="U8" s="251"/>
      <c r="V8" s="1347">
        <f>+V9+V10+V12+V15+V11</f>
        <v>81.355944469999997</v>
      </c>
      <c r="W8" s="1347">
        <f t="shared" ref="W8:Y8" si="4">+W9+W10+W12+W15+W11</f>
        <v>49.06931307</v>
      </c>
      <c r="X8" s="1347">
        <f t="shared" si="4"/>
        <v>52.151623739999998</v>
      </c>
      <c r="Y8" s="1347">
        <f t="shared" si="4"/>
        <v>52.417114399999996</v>
      </c>
      <c r="Z8" s="1347">
        <f>+Z9+Z10+Z12+Z15+Z11</f>
        <v>326.45193912000002</v>
      </c>
      <c r="AA8" s="1347">
        <f t="shared" ref="AA8:AC8" si="5">+AA9+AA10+AA12+AA15+AA11</f>
        <v>0</v>
      </c>
      <c r="AB8" s="1347">
        <f t="shared" si="5"/>
        <v>0</v>
      </c>
      <c r="AC8" s="1347">
        <f t="shared" si="5"/>
        <v>0</v>
      </c>
      <c r="AD8" s="1347">
        <f>+AD9+AD10+AD12+AD15+AD11</f>
        <v>0</v>
      </c>
      <c r="AE8" s="1347">
        <f t="shared" ref="AE8:AG8" si="6">+AE9+AE10+AE12+AE15+AE11</f>
        <v>0</v>
      </c>
      <c r="AF8" s="1347">
        <f t="shared" si="6"/>
        <v>0</v>
      </c>
      <c r="AG8" s="1347">
        <f t="shared" si="6"/>
        <v>0</v>
      </c>
      <c r="AH8" s="1347">
        <f>SUM(V8:AG8)</f>
        <v>561.44593480000003</v>
      </c>
      <c r="AJ8" s="321"/>
      <c r="AK8" s="321"/>
      <c r="AL8" s="321"/>
      <c r="AM8" s="321"/>
      <c r="AN8" s="321"/>
      <c r="AO8" s="321"/>
      <c r="AP8" s="321"/>
      <c r="AQ8" s="321"/>
      <c r="AR8" s="321"/>
      <c r="AS8" s="321"/>
      <c r="AT8" s="321"/>
      <c r="AU8" s="321"/>
      <c r="AV8" s="321"/>
      <c r="AW8" s="321"/>
      <c r="AX8" s="321"/>
      <c r="AY8" s="321"/>
      <c r="AZ8" s="321"/>
      <c r="BA8" s="321"/>
      <c r="BB8" s="321"/>
      <c r="BC8" s="321"/>
      <c r="BD8" s="321"/>
      <c r="BE8" s="321"/>
      <c r="BF8" s="321"/>
      <c r="BG8" s="321"/>
      <c r="BH8" s="321"/>
      <c r="BI8" s="321"/>
      <c r="BJ8" s="321"/>
      <c r="BK8" s="321"/>
      <c r="BL8" s="423"/>
    </row>
    <row r="9" spans="2:64" s="180" customFormat="1" ht="15" customHeight="1">
      <c r="C9" s="688" t="str">
        <f>IF(Indice_index!$Z$1=1,"Impostos diretos ","Direct taxes")</f>
        <v>Direct taxes</v>
      </c>
      <c r="D9" s="136"/>
      <c r="E9" s="136" t="s">
        <v>17</v>
      </c>
      <c r="F9" s="97"/>
      <c r="G9" s="136">
        <f t="shared" ref="G9:T11" si="7">+SUMIF($E$56:$E$85,$E9,G$56:G$85)</f>
        <v>3.7343899899999999</v>
      </c>
      <c r="H9" s="136">
        <f t="shared" si="7"/>
        <v>-0.11633714000000001</v>
      </c>
      <c r="I9" s="136">
        <f t="shared" si="7"/>
        <v>-0.24181496999999999</v>
      </c>
      <c r="J9" s="136">
        <f t="shared" si="7"/>
        <v>-6.5510680000000002E-2</v>
      </c>
      <c r="K9" s="136">
        <f t="shared" si="7"/>
        <v>3.1850899999999998E-3</v>
      </c>
      <c r="L9" s="136">
        <f t="shared" si="7"/>
        <v>-0.2503862</v>
      </c>
      <c r="M9" s="136">
        <f t="shared" si="7"/>
        <v>0.28461910000000001</v>
      </c>
      <c r="N9" s="136">
        <f t="shared" si="7"/>
        <v>5.8610000000000003E-5</v>
      </c>
      <c r="O9" s="136">
        <f t="shared" si="7"/>
        <v>6.5700255299999997</v>
      </c>
      <c r="P9" s="136">
        <f t="shared" si="7"/>
        <v>50.91310713</v>
      </c>
      <c r="Q9" s="136">
        <f t="shared" si="7"/>
        <v>50.634189110000001</v>
      </c>
      <c r="R9" s="136">
        <f t="shared" si="7"/>
        <v>356.34298188000002</v>
      </c>
      <c r="S9" s="136">
        <f>+SUMIF($E$56:$E$85,$E9,S$56:S$85)</f>
        <v>3.3139122899999998</v>
      </c>
      <c r="T9" s="136">
        <f t="shared" si="7"/>
        <v>467.80850744999998</v>
      </c>
      <c r="U9" s="97"/>
      <c r="V9" s="136">
        <f t="shared" ref="V9:AH11" si="8">+SUMIF($E$56:$E$85,$E9,V$56:V$85)</f>
        <v>1.60246394</v>
      </c>
      <c r="W9" s="136">
        <f t="shared" si="8"/>
        <v>-3.21659746</v>
      </c>
      <c r="X9" s="136">
        <f t="shared" si="8"/>
        <v>-0.23536579999999999</v>
      </c>
      <c r="Y9" s="136">
        <f t="shared" si="8"/>
        <v>-3.9654219999999997E-2</v>
      </c>
      <c r="Z9" s="136">
        <f t="shared" si="8"/>
        <v>1.1234E-4</v>
      </c>
      <c r="AA9" s="136">
        <f t="shared" si="8"/>
        <v>0</v>
      </c>
      <c r="AB9" s="136">
        <f t="shared" si="8"/>
        <v>0</v>
      </c>
      <c r="AC9" s="136">
        <f t="shared" si="8"/>
        <v>0</v>
      </c>
      <c r="AD9" s="136">
        <f t="shared" si="8"/>
        <v>0</v>
      </c>
      <c r="AE9" s="136">
        <f t="shared" si="8"/>
        <v>0</v>
      </c>
      <c r="AF9" s="136">
        <f t="shared" si="8"/>
        <v>0</v>
      </c>
      <c r="AG9" s="136">
        <f t="shared" si="8"/>
        <v>0</v>
      </c>
      <c r="AH9" s="136">
        <f t="shared" si="8"/>
        <v>-1.8890412000000001</v>
      </c>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422"/>
    </row>
    <row r="10" spans="2:64" s="180" customFormat="1" ht="15" customHeight="1">
      <c r="C10" s="688" t="str">
        <f>IF(Indice_index!$Z$1=1,"Impostos indiretos","Indirect taxes")</f>
        <v>Indirect taxes</v>
      </c>
      <c r="D10" s="136"/>
      <c r="E10" s="136" t="s">
        <v>18</v>
      </c>
      <c r="F10" s="97"/>
      <c r="G10" s="136">
        <f t="shared" si="7"/>
        <v>54.282757560000007</v>
      </c>
      <c r="H10" s="136">
        <f t="shared" si="7"/>
        <v>48.575820739999997</v>
      </c>
      <c r="I10" s="136">
        <f t="shared" si="7"/>
        <v>41.067772329999997</v>
      </c>
      <c r="J10" s="136">
        <f t="shared" si="7"/>
        <v>69.096578859999994</v>
      </c>
      <c r="K10" s="136">
        <f t="shared" si="7"/>
        <v>24.17361519</v>
      </c>
      <c r="L10" s="136">
        <f t="shared" si="7"/>
        <v>14.987979920000001</v>
      </c>
      <c r="M10" s="136">
        <f t="shared" si="7"/>
        <v>21.421607989999998</v>
      </c>
      <c r="N10" s="136">
        <f t="shared" si="7"/>
        <v>15.495488809999999</v>
      </c>
      <c r="O10" s="136">
        <f t="shared" si="7"/>
        <v>15.215828910000001</v>
      </c>
      <c r="P10" s="136">
        <f t="shared" si="7"/>
        <v>22.83669562</v>
      </c>
      <c r="Q10" s="136">
        <f t="shared" si="7"/>
        <v>15.374769649999999</v>
      </c>
      <c r="R10" s="136">
        <f t="shared" si="7"/>
        <v>16.644486520000001</v>
      </c>
      <c r="S10" s="136">
        <f t="shared" si="7"/>
        <v>237.19654468000002</v>
      </c>
      <c r="T10" s="136">
        <f t="shared" si="7"/>
        <v>359.17340210000003</v>
      </c>
      <c r="U10" s="97"/>
      <c r="V10" s="136">
        <f t="shared" si="8"/>
        <v>67.751514249999985</v>
      </c>
      <c r="W10" s="136">
        <f t="shared" si="8"/>
        <v>51.575350900000004</v>
      </c>
      <c r="X10" s="136">
        <f t="shared" si="8"/>
        <v>51.780592909999996</v>
      </c>
      <c r="Y10" s="136">
        <f t="shared" si="8"/>
        <v>48.687685209999998</v>
      </c>
      <c r="Z10" s="136">
        <f t="shared" si="8"/>
        <v>14.7148579</v>
      </c>
      <c r="AA10" s="136">
        <f t="shared" si="8"/>
        <v>0</v>
      </c>
      <c r="AB10" s="136">
        <f t="shared" si="8"/>
        <v>0</v>
      </c>
      <c r="AC10" s="136">
        <f t="shared" si="8"/>
        <v>0</v>
      </c>
      <c r="AD10" s="136">
        <f t="shared" si="8"/>
        <v>0</v>
      </c>
      <c r="AE10" s="136">
        <f t="shared" si="8"/>
        <v>0</v>
      </c>
      <c r="AF10" s="136">
        <f t="shared" si="8"/>
        <v>0</v>
      </c>
      <c r="AG10" s="136">
        <f t="shared" si="8"/>
        <v>0</v>
      </c>
      <c r="AH10" s="136">
        <f t="shared" si="8"/>
        <v>234.51000117000001</v>
      </c>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422"/>
    </row>
    <row r="11" spans="2:64" s="180" customFormat="1" ht="15" customHeight="1">
      <c r="C11" s="821" t="str">
        <f>IF(Indice_index!$Z$1=1,"Contribuições para Segurança Social, CGA e ADSE","Social security, CGA and ADSE contributions")</f>
        <v>Social security, CGA and ADSE contributions</v>
      </c>
      <c r="D11" s="136"/>
      <c r="E11" s="136" t="s">
        <v>19</v>
      </c>
      <c r="F11" s="97"/>
      <c r="G11" s="136">
        <f t="shared" si="7"/>
        <v>0</v>
      </c>
      <c r="H11" s="136">
        <f t="shared" si="7"/>
        <v>0</v>
      </c>
      <c r="I11" s="136">
        <f t="shared" si="7"/>
        <v>0</v>
      </c>
      <c r="J11" s="136">
        <f t="shared" si="7"/>
        <v>0</v>
      </c>
      <c r="K11" s="136">
        <f t="shared" si="7"/>
        <v>0</v>
      </c>
      <c r="L11" s="136">
        <f t="shared" si="7"/>
        <v>0</v>
      </c>
      <c r="M11" s="136">
        <f t="shared" si="7"/>
        <v>0</v>
      </c>
      <c r="N11" s="136">
        <f t="shared" si="7"/>
        <v>0</v>
      </c>
      <c r="O11" s="136">
        <f t="shared" si="7"/>
        <v>0</v>
      </c>
      <c r="P11" s="136">
        <f t="shared" si="7"/>
        <v>0</v>
      </c>
      <c r="Q11" s="136">
        <f t="shared" si="7"/>
        <v>0</v>
      </c>
      <c r="R11" s="136">
        <f t="shared" si="7"/>
        <v>0</v>
      </c>
      <c r="S11" s="136">
        <f t="shared" si="7"/>
        <v>0</v>
      </c>
      <c r="T11" s="136">
        <f t="shared" si="7"/>
        <v>0</v>
      </c>
      <c r="U11" s="97"/>
      <c r="V11" s="136">
        <f t="shared" si="8"/>
        <v>0</v>
      </c>
      <c r="W11" s="136">
        <f t="shared" si="8"/>
        <v>0</v>
      </c>
      <c r="X11" s="136">
        <f t="shared" si="8"/>
        <v>0</v>
      </c>
      <c r="Y11" s="136">
        <f t="shared" si="8"/>
        <v>0</v>
      </c>
      <c r="Z11" s="136">
        <f t="shared" si="8"/>
        <v>0</v>
      </c>
      <c r="AA11" s="136">
        <f t="shared" si="8"/>
        <v>0</v>
      </c>
      <c r="AB11" s="136">
        <f t="shared" si="8"/>
        <v>0</v>
      </c>
      <c r="AC11" s="136">
        <f t="shared" si="8"/>
        <v>0</v>
      </c>
      <c r="AD11" s="136">
        <f t="shared" si="8"/>
        <v>0</v>
      </c>
      <c r="AE11" s="136">
        <f t="shared" si="8"/>
        <v>0</v>
      </c>
      <c r="AF11" s="136">
        <f t="shared" si="8"/>
        <v>0</v>
      </c>
      <c r="AG11" s="136">
        <f t="shared" si="8"/>
        <v>0</v>
      </c>
      <c r="AH11" s="136">
        <f t="shared" si="8"/>
        <v>0</v>
      </c>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422"/>
    </row>
    <row r="12" spans="2:64" s="180" customFormat="1" ht="15" customHeight="1">
      <c r="C12" s="688" t="str">
        <f>IF(Indice_index!$Z$1=1,"Transferências Correntes","Current transfers")</f>
        <v>Current transfers</v>
      </c>
      <c r="D12" s="136"/>
      <c r="E12" s="136" t="s">
        <v>20</v>
      </c>
      <c r="F12" s="97"/>
      <c r="G12" s="136">
        <f t="shared" ref="G12:T12" si="9">+G13+G14</f>
        <v>0</v>
      </c>
      <c r="H12" s="136">
        <f t="shared" si="9"/>
        <v>0</v>
      </c>
      <c r="I12" s="136">
        <f t="shared" si="9"/>
        <v>0</v>
      </c>
      <c r="J12" s="136">
        <f t="shared" si="9"/>
        <v>0</v>
      </c>
      <c r="K12" s="136">
        <f t="shared" si="9"/>
        <v>0</v>
      </c>
      <c r="L12" s="136">
        <f t="shared" si="9"/>
        <v>0</v>
      </c>
      <c r="M12" s="136">
        <f t="shared" si="9"/>
        <v>0</v>
      </c>
      <c r="N12" s="136">
        <f t="shared" si="9"/>
        <v>0</v>
      </c>
      <c r="O12" s="136">
        <f t="shared" si="9"/>
        <v>0</v>
      </c>
      <c r="P12" s="136">
        <f t="shared" si="9"/>
        <v>0</v>
      </c>
      <c r="Q12" s="136">
        <f t="shared" si="9"/>
        <v>0</v>
      </c>
      <c r="R12" s="136">
        <f t="shared" si="9"/>
        <v>0</v>
      </c>
      <c r="S12" s="136">
        <f t="shared" si="9"/>
        <v>0</v>
      </c>
      <c r="T12" s="136">
        <f t="shared" si="9"/>
        <v>0</v>
      </c>
      <c r="U12" s="97"/>
      <c r="V12" s="136">
        <f t="shared" ref="V12:AH12" si="10">+V13+V14</f>
        <v>0</v>
      </c>
      <c r="W12" s="136">
        <f t="shared" si="10"/>
        <v>0</v>
      </c>
      <c r="X12" s="136">
        <f t="shared" si="10"/>
        <v>0</v>
      </c>
      <c r="Y12" s="136">
        <f t="shared" si="10"/>
        <v>0</v>
      </c>
      <c r="Z12" s="136">
        <f t="shared" si="10"/>
        <v>0</v>
      </c>
      <c r="AA12" s="136">
        <f t="shared" si="10"/>
        <v>0</v>
      </c>
      <c r="AB12" s="136">
        <f t="shared" si="10"/>
        <v>0</v>
      </c>
      <c r="AC12" s="136">
        <f t="shared" si="10"/>
        <v>0</v>
      </c>
      <c r="AD12" s="136">
        <f t="shared" si="10"/>
        <v>0</v>
      </c>
      <c r="AE12" s="136">
        <f t="shared" si="10"/>
        <v>0</v>
      </c>
      <c r="AF12" s="136">
        <f t="shared" si="10"/>
        <v>0</v>
      </c>
      <c r="AG12" s="136">
        <f t="shared" si="10"/>
        <v>0</v>
      </c>
      <c r="AH12" s="136">
        <f t="shared" si="10"/>
        <v>0</v>
      </c>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422"/>
    </row>
    <row r="13" spans="2:64" s="180" customFormat="1" ht="15" customHeight="1">
      <c r="C13" s="1348" t="str">
        <f>IF(Indice_index!$Z$1=1,"Administrações Públicas","General Government subsectors")</f>
        <v>General Government subsectors</v>
      </c>
      <c r="D13" s="136"/>
      <c r="E13" s="136" t="s">
        <v>21</v>
      </c>
      <c r="F13" s="97"/>
      <c r="G13" s="136">
        <f t="shared" ref="G13:T15" si="11">+SUMIF($E$56:$E$85,$E13,G$56:G$85)</f>
        <v>0</v>
      </c>
      <c r="H13" s="136">
        <f t="shared" si="11"/>
        <v>0</v>
      </c>
      <c r="I13" s="136">
        <f t="shared" si="11"/>
        <v>0</v>
      </c>
      <c r="J13" s="136">
        <f t="shared" si="11"/>
        <v>0</v>
      </c>
      <c r="K13" s="136">
        <f t="shared" si="11"/>
        <v>0</v>
      </c>
      <c r="L13" s="136">
        <f t="shared" si="11"/>
        <v>0</v>
      </c>
      <c r="M13" s="136">
        <f t="shared" si="11"/>
        <v>0</v>
      </c>
      <c r="N13" s="136">
        <f t="shared" si="11"/>
        <v>0</v>
      </c>
      <c r="O13" s="136">
        <f t="shared" si="11"/>
        <v>0</v>
      </c>
      <c r="P13" s="136">
        <f t="shared" si="11"/>
        <v>0</v>
      </c>
      <c r="Q13" s="136">
        <f t="shared" si="11"/>
        <v>0</v>
      </c>
      <c r="R13" s="136">
        <f t="shared" si="11"/>
        <v>0</v>
      </c>
      <c r="S13" s="136">
        <f t="shared" si="11"/>
        <v>0</v>
      </c>
      <c r="T13" s="136">
        <f t="shared" si="11"/>
        <v>0</v>
      </c>
      <c r="U13" s="97"/>
      <c r="V13" s="136">
        <f t="shared" ref="V13:AH15" si="12">+SUMIF($E$56:$E$85,$E13,V$56:V$85)</f>
        <v>0</v>
      </c>
      <c r="W13" s="136">
        <f t="shared" si="12"/>
        <v>0</v>
      </c>
      <c r="X13" s="136">
        <f t="shared" si="12"/>
        <v>0</v>
      </c>
      <c r="Y13" s="136">
        <f t="shared" si="12"/>
        <v>0</v>
      </c>
      <c r="Z13" s="136">
        <f t="shared" si="12"/>
        <v>0</v>
      </c>
      <c r="AA13" s="136">
        <f t="shared" si="12"/>
        <v>0</v>
      </c>
      <c r="AB13" s="136">
        <f t="shared" si="12"/>
        <v>0</v>
      </c>
      <c r="AC13" s="136">
        <f t="shared" si="12"/>
        <v>0</v>
      </c>
      <c r="AD13" s="136">
        <f t="shared" si="12"/>
        <v>0</v>
      </c>
      <c r="AE13" s="136">
        <f t="shared" si="12"/>
        <v>0</v>
      </c>
      <c r="AF13" s="136">
        <f t="shared" si="12"/>
        <v>0</v>
      </c>
      <c r="AG13" s="136">
        <f t="shared" si="12"/>
        <v>0</v>
      </c>
      <c r="AH13" s="136">
        <f t="shared" si="12"/>
        <v>0</v>
      </c>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422"/>
    </row>
    <row r="14" spans="2:64" s="180" customFormat="1" ht="15" customHeight="1">
      <c r="C14" s="1348" t="str">
        <f>IF(Indice_index!$Z$1=1,"Outras","Others")</f>
        <v>Others</v>
      </c>
      <c r="D14" s="136"/>
      <c r="E14" s="136" t="s">
        <v>22</v>
      </c>
      <c r="F14" s="97"/>
      <c r="G14" s="136">
        <f t="shared" si="11"/>
        <v>0</v>
      </c>
      <c r="H14" s="136">
        <f t="shared" si="11"/>
        <v>0</v>
      </c>
      <c r="I14" s="136">
        <f t="shared" si="11"/>
        <v>0</v>
      </c>
      <c r="J14" s="136">
        <f t="shared" si="11"/>
        <v>0</v>
      </c>
      <c r="K14" s="136">
        <f t="shared" si="11"/>
        <v>0</v>
      </c>
      <c r="L14" s="136">
        <f t="shared" si="11"/>
        <v>0</v>
      </c>
      <c r="M14" s="136">
        <f t="shared" si="11"/>
        <v>0</v>
      </c>
      <c r="N14" s="136">
        <f t="shared" si="11"/>
        <v>0</v>
      </c>
      <c r="O14" s="136">
        <f t="shared" si="11"/>
        <v>0</v>
      </c>
      <c r="P14" s="136">
        <f t="shared" si="11"/>
        <v>0</v>
      </c>
      <c r="Q14" s="136">
        <f t="shared" si="11"/>
        <v>0</v>
      </c>
      <c r="R14" s="136">
        <f t="shared" si="11"/>
        <v>0</v>
      </c>
      <c r="S14" s="136">
        <f t="shared" si="11"/>
        <v>0</v>
      </c>
      <c r="T14" s="136">
        <f t="shared" si="11"/>
        <v>0</v>
      </c>
      <c r="U14" s="97"/>
      <c r="V14" s="136">
        <f t="shared" si="12"/>
        <v>0</v>
      </c>
      <c r="W14" s="136">
        <f t="shared" si="12"/>
        <v>0</v>
      </c>
      <c r="X14" s="136">
        <f t="shared" si="12"/>
        <v>0</v>
      </c>
      <c r="Y14" s="136">
        <f t="shared" si="12"/>
        <v>0</v>
      </c>
      <c r="Z14" s="136">
        <f t="shared" si="12"/>
        <v>0</v>
      </c>
      <c r="AA14" s="136">
        <f t="shared" si="12"/>
        <v>0</v>
      </c>
      <c r="AB14" s="136">
        <f t="shared" si="12"/>
        <v>0</v>
      </c>
      <c r="AC14" s="136">
        <f t="shared" si="12"/>
        <v>0</v>
      </c>
      <c r="AD14" s="136">
        <f t="shared" si="12"/>
        <v>0</v>
      </c>
      <c r="AE14" s="136">
        <f t="shared" si="12"/>
        <v>0</v>
      </c>
      <c r="AF14" s="136">
        <f t="shared" si="12"/>
        <v>0</v>
      </c>
      <c r="AG14" s="136">
        <f t="shared" si="12"/>
        <v>0</v>
      </c>
      <c r="AH14" s="136">
        <f t="shared" si="12"/>
        <v>0</v>
      </c>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422"/>
    </row>
    <row r="15" spans="2:64" s="180" customFormat="1" ht="15" customHeight="1">
      <c r="C15" s="688" t="str">
        <f>IF(Indice_index!$Z$1=1,"Outras receitas correntes","Other current revenue")</f>
        <v>Other current revenue</v>
      </c>
      <c r="D15" s="136"/>
      <c r="E15" s="136" t="s">
        <v>59</v>
      </c>
      <c r="F15" s="97"/>
      <c r="G15" s="136">
        <f t="shared" si="11"/>
        <v>0.71257448000000001</v>
      </c>
      <c r="H15" s="136">
        <f t="shared" si="11"/>
        <v>0.85991636000000005</v>
      </c>
      <c r="I15" s="136">
        <f t="shared" si="11"/>
        <v>87.860382689999994</v>
      </c>
      <c r="J15" s="136">
        <f t="shared" si="11"/>
        <v>0.75083239999999973</v>
      </c>
      <c r="K15" s="136">
        <f t="shared" si="11"/>
        <v>351.30683365000004</v>
      </c>
      <c r="L15" s="136">
        <f t="shared" si="11"/>
        <v>74.681144559999993</v>
      </c>
      <c r="M15" s="136">
        <f t="shared" si="11"/>
        <v>0.62082892000000001</v>
      </c>
      <c r="N15" s="136">
        <f t="shared" si="11"/>
        <v>0.66420129000000006</v>
      </c>
      <c r="O15" s="136">
        <f t="shared" si="11"/>
        <v>0.65135262000000005</v>
      </c>
      <c r="P15" s="136">
        <f t="shared" si="11"/>
        <v>0.68178795999999997</v>
      </c>
      <c r="Q15" s="136">
        <f t="shared" si="11"/>
        <v>587.03991427000005</v>
      </c>
      <c r="R15" s="136">
        <f t="shared" si="11"/>
        <v>179.71697128</v>
      </c>
      <c r="S15" s="136">
        <f t="shared" si="11"/>
        <v>441.49053958000002</v>
      </c>
      <c r="T15" s="136">
        <f t="shared" si="11"/>
        <v>1285.5467404799999</v>
      </c>
      <c r="U15" s="97"/>
      <c r="V15" s="136">
        <f t="shared" si="12"/>
        <v>12.00196628</v>
      </c>
      <c r="W15" s="136">
        <f t="shared" si="12"/>
        <v>0.71055963</v>
      </c>
      <c r="X15" s="136">
        <f t="shared" si="12"/>
        <v>0.60639662999999999</v>
      </c>
      <c r="Y15" s="136">
        <f t="shared" si="12"/>
        <v>3.7690834099999999</v>
      </c>
      <c r="Z15" s="136">
        <f t="shared" si="12"/>
        <v>311.73696888000001</v>
      </c>
      <c r="AA15" s="136">
        <f t="shared" si="12"/>
        <v>0</v>
      </c>
      <c r="AB15" s="136">
        <f t="shared" si="12"/>
        <v>0</v>
      </c>
      <c r="AC15" s="136">
        <f t="shared" si="12"/>
        <v>0</v>
      </c>
      <c r="AD15" s="136">
        <f t="shared" si="12"/>
        <v>0</v>
      </c>
      <c r="AE15" s="136">
        <f t="shared" si="12"/>
        <v>0</v>
      </c>
      <c r="AF15" s="136">
        <f t="shared" si="12"/>
        <v>0</v>
      </c>
      <c r="AG15" s="136">
        <f t="shared" si="12"/>
        <v>0</v>
      </c>
      <c r="AH15" s="136">
        <f t="shared" si="12"/>
        <v>328.82497483000003</v>
      </c>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422"/>
    </row>
    <row r="16" spans="2:64" s="319" customFormat="1" ht="15" customHeight="1">
      <c r="C16" s="320" t="str">
        <f>IF(Indice_index!$Z$1=1,"Receita de capital","Capital revenue")</f>
        <v>Capital revenue</v>
      </c>
      <c r="D16" s="1347"/>
      <c r="E16" s="1347"/>
      <c r="F16" s="251"/>
      <c r="G16" s="1347">
        <f t="shared" ref="G16:T16" si="13">+G17+G18+G21</f>
        <v>0</v>
      </c>
      <c r="H16" s="1347">
        <f t="shared" si="13"/>
        <v>26.836077</v>
      </c>
      <c r="I16" s="1347">
        <f t="shared" si="13"/>
        <v>0</v>
      </c>
      <c r="J16" s="1347">
        <f t="shared" si="13"/>
        <v>0</v>
      </c>
      <c r="K16" s="1347">
        <f t="shared" si="13"/>
        <v>0</v>
      </c>
      <c r="L16" s="1347">
        <f t="shared" si="13"/>
        <v>0</v>
      </c>
      <c r="M16" s="1347">
        <f t="shared" si="13"/>
        <v>0</v>
      </c>
      <c r="N16" s="1347">
        <f t="shared" si="13"/>
        <v>0</v>
      </c>
      <c r="O16" s="1347">
        <f t="shared" si="13"/>
        <v>0</v>
      </c>
      <c r="P16" s="1347">
        <f t="shared" si="13"/>
        <v>0</v>
      </c>
      <c r="Q16" s="1347">
        <f t="shared" si="13"/>
        <v>0</v>
      </c>
      <c r="R16" s="1347">
        <f t="shared" si="13"/>
        <v>0</v>
      </c>
      <c r="S16" s="1347">
        <f t="shared" si="13"/>
        <v>26.836077</v>
      </c>
      <c r="T16" s="1347">
        <f t="shared" si="13"/>
        <v>26.836077</v>
      </c>
      <c r="U16" s="251"/>
      <c r="V16" s="1347">
        <f t="shared" ref="V16:AH16" si="14">+V17+V18+V21</f>
        <v>0</v>
      </c>
      <c r="W16" s="1347">
        <f t="shared" si="14"/>
        <v>0</v>
      </c>
      <c r="X16" s="1347">
        <f t="shared" si="14"/>
        <v>30</v>
      </c>
      <c r="Y16" s="1347">
        <f t="shared" si="14"/>
        <v>0</v>
      </c>
      <c r="Z16" s="1347">
        <f t="shared" si="14"/>
        <v>0</v>
      </c>
      <c r="AA16" s="1347">
        <f t="shared" si="14"/>
        <v>0</v>
      </c>
      <c r="AB16" s="1347">
        <f t="shared" si="14"/>
        <v>0</v>
      </c>
      <c r="AC16" s="1347">
        <f t="shared" si="14"/>
        <v>0</v>
      </c>
      <c r="AD16" s="1347">
        <f t="shared" si="14"/>
        <v>0</v>
      </c>
      <c r="AE16" s="1347">
        <f t="shared" si="14"/>
        <v>0</v>
      </c>
      <c r="AF16" s="1347">
        <f t="shared" si="14"/>
        <v>0</v>
      </c>
      <c r="AG16" s="1347">
        <f t="shared" si="14"/>
        <v>0</v>
      </c>
      <c r="AH16" s="1347">
        <f t="shared" si="14"/>
        <v>30</v>
      </c>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423"/>
    </row>
    <row r="17" spans="3:64" s="180" customFormat="1" ht="15" customHeight="1">
      <c r="C17" s="688" t="str">
        <f>IF(Indice_index!$Z$1=1,"Venda de bens de investimento","Sale of investment good")</f>
        <v>Sale of investment good</v>
      </c>
      <c r="D17" s="136"/>
      <c r="E17" s="136" t="s">
        <v>23</v>
      </c>
      <c r="F17" s="97"/>
      <c r="G17" s="136">
        <f t="shared" ref="G17:T17" si="15">+SUMIF($E$56:$E$85,$E17,G$56:G$85)</f>
        <v>0</v>
      </c>
      <c r="H17" s="136">
        <f t="shared" si="15"/>
        <v>26.836077</v>
      </c>
      <c r="I17" s="136">
        <f t="shared" si="15"/>
        <v>0</v>
      </c>
      <c r="J17" s="136">
        <f t="shared" si="15"/>
        <v>0</v>
      </c>
      <c r="K17" s="136">
        <f t="shared" si="15"/>
        <v>0</v>
      </c>
      <c r="L17" s="136">
        <f t="shared" si="15"/>
        <v>0</v>
      </c>
      <c r="M17" s="136">
        <f t="shared" si="15"/>
        <v>0</v>
      </c>
      <c r="N17" s="136">
        <f t="shared" si="15"/>
        <v>0</v>
      </c>
      <c r="O17" s="136">
        <f t="shared" si="15"/>
        <v>0</v>
      </c>
      <c r="P17" s="136">
        <f t="shared" si="15"/>
        <v>0</v>
      </c>
      <c r="Q17" s="136">
        <f t="shared" si="15"/>
        <v>0</v>
      </c>
      <c r="R17" s="136">
        <f t="shared" si="15"/>
        <v>0</v>
      </c>
      <c r="S17" s="136">
        <f t="shared" si="15"/>
        <v>26.836077</v>
      </c>
      <c r="T17" s="136">
        <f t="shared" si="15"/>
        <v>26.836077</v>
      </c>
      <c r="U17" s="97"/>
      <c r="V17" s="136">
        <f t="shared" ref="V17:AH17" si="16">+SUMIF($E$56:$E$85,$E17,V$56:V$85)</f>
        <v>0</v>
      </c>
      <c r="W17" s="136">
        <f t="shared" si="16"/>
        <v>0</v>
      </c>
      <c r="X17" s="136">
        <f t="shared" si="16"/>
        <v>30</v>
      </c>
      <c r="Y17" s="136">
        <f t="shared" si="16"/>
        <v>0</v>
      </c>
      <c r="Z17" s="136">
        <f t="shared" si="16"/>
        <v>0</v>
      </c>
      <c r="AA17" s="136">
        <f t="shared" si="16"/>
        <v>0</v>
      </c>
      <c r="AB17" s="136">
        <f t="shared" si="16"/>
        <v>0</v>
      </c>
      <c r="AC17" s="136">
        <f t="shared" si="16"/>
        <v>0</v>
      </c>
      <c r="AD17" s="136">
        <f t="shared" si="16"/>
        <v>0</v>
      </c>
      <c r="AE17" s="136">
        <f t="shared" si="16"/>
        <v>0</v>
      </c>
      <c r="AF17" s="136">
        <f t="shared" si="16"/>
        <v>0</v>
      </c>
      <c r="AG17" s="136">
        <f t="shared" si="16"/>
        <v>0</v>
      </c>
      <c r="AH17" s="136">
        <f t="shared" si="16"/>
        <v>30</v>
      </c>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422"/>
    </row>
    <row r="18" spans="3:64" s="180" customFormat="1" ht="15" customHeight="1">
      <c r="C18" s="688" t="str">
        <f>IF(Indice_index!$Z$1=1,"Transferências de Capital","Capital transfers")</f>
        <v>Capital transfers</v>
      </c>
      <c r="D18" s="136"/>
      <c r="E18" s="136" t="s">
        <v>24</v>
      </c>
      <c r="F18" s="97"/>
      <c r="G18" s="136">
        <f t="shared" ref="G18:T18" si="17">+G19+G20</f>
        <v>0</v>
      </c>
      <c r="H18" s="136">
        <f t="shared" si="17"/>
        <v>0</v>
      </c>
      <c r="I18" s="136">
        <f t="shared" si="17"/>
        <v>0</v>
      </c>
      <c r="J18" s="136">
        <f t="shared" si="17"/>
        <v>0</v>
      </c>
      <c r="K18" s="136">
        <f t="shared" si="17"/>
        <v>0</v>
      </c>
      <c r="L18" s="136">
        <f t="shared" si="17"/>
        <v>0</v>
      </c>
      <c r="M18" s="136">
        <f t="shared" si="17"/>
        <v>0</v>
      </c>
      <c r="N18" s="136">
        <f t="shared" si="17"/>
        <v>0</v>
      </c>
      <c r="O18" s="136">
        <f t="shared" si="17"/>
        <v>0</v>
      </c>
      <c r="P18" s="136">
        <f t="shared" si="17"/>
        <v>0</v>
      </c>
      <c r="Q18" s="136">
        <f t="shared" si="17"/>
        <v>0</v>
      </c>
      <c r="R18" s="136">
        <f t="shared" si="17"/>
        <v>0</v>
      </c>
      <c r="S18" s="136">
        <f t="shared" si="17"/>
        <v>0</v>
      </c>
      <c r="T18" s="136">
        <f t="shared" si="17"/>
        <v>0</v>
      </c>
      <c r="U18" s="97"/>
      <c r="V18" s="136">
        <f t="shared" ref="V18:AH18" si="18">+V19+V20</f>
        <v>0</v>
      </c>
      <c r="W18" s="136">
        <f t="shared" si="18"/>
        <v>0</v>
      </c>
      <c r="X18" s="136">
        <f t="shared" si="18"/>
        <v>0</v>
      </c>
      <c r="Y18" s="136">
        <f t="shared" si="18"/>
        <v>0</v>
      </c>
      <c r="Z18" s="136">
        <f t="shared" si="18"/>
        <v>0</v>
      </c>
      <c r="AA18" s="136">
        <f t="shared" si="18"/>
        <v>0</v>
      </c>
      <c r="AB18" s="136">
        <f t="shared" si="18"/>
        <v>0</v>
      </c>
      <c r="AC18" s="136">
        <f t="shared" si="18"/>
        <v>0</v>
      </c>
      <c r="AD18" s="136">
        <f t="shared" si="18"/>
        <v>0</v>
      </c>
      <c r="AE18" s="136">
        <f t="shared" si="18"/>
        <v>0</v>
      </c>
      <c r="AF18" s="136">
        <f t="shared" si="18"/>
        <v>0</v>
      </c>
      <c r="AG18" s="136">
        <f t="shared" si="18"/>
        <v>0</v>
      </c>
      <c r="AH18" s="136">
        <f t="shared" si="18"/>
        <v>0</v>
      </c>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422"/>
    </row>
    <row r="19" spans="3:64" s="180" customFormat="1" ht="15" customHeight="1">
      <c r="C19" s="1348" t="str">
        <f>IF(Indice_index!$Z$1=1,"Administrações Públicas","General Government subsectors")</f>
        <v>General Government subsectors</v>
      </c>
      <c r="D19" s="136"/>
      <c r="E19" s="136" t="s">
        <v>25</v>
      </c>
      <c r="F19" s="97"/>
      <c r="G19" s="136">
        <f t="shared" ref="G19:T21" si="19">+SUMIF($E$56:$E$85,$E19,G$56:G$85)</f>
        <v>0</v>
      </c>
      <c r="H19" s="136">
        <f t="shared" si="19"/>
        <v>0</v>
      </c>
      <c r="I19" s="136">
        <f t="shared" si="19"/>
        <v>0</v>
      </c>
      <c r="J19" s="136">
        <f t="shared" si="19"/>
        <v>0</v>
      </c>
      <c r="K19" s="136">
        <f t="shared" si="19"/>
        <v>0</v>
      </c>
      <c r="L19" s="136">
        <f t="shared" si="19"/>
        <v>0</v>
      </c>
      <c r="M19" s="136">
        <f t="shared" si="19"/>
        <v>0</v>
      </c>
      <c r="N19" s="136">
        <f t="shared" si="19"/>
        <v>0</v>
      </c>
      <c r="O19" s="136">
        <f t="shared" si="19"/>
        <v>0</v>
      </c>
      <c r="P19" s="136">
        <f t="shared" si="19"/>
        <v>0</v>
      </c>
      <c r="Q19" s="136">
        <f t="shared" si="19"/>
        <v>0</v>
      </c>
      <c r="R19" s="136">
        <f t="shared" si="19"/>
        <v>0</v>
      </c>
      <c r="S19" s="136">
        <f t="shared" si="19"/>
        <v>0</v>
      </c>
      <c r="T19" s="136">
        <f t="shared" si="19"/>
        <v>0</v>
      </c>
      <c r="U19" s="97"/>
      <c r="V19" s="136">
        <f t="shared" ref="V19:AH21" si="20">+SUMIF($E$56:$E$85,$E19,V$56:V$85)</f>
        <v>0</v>
      </c>
      <c r="W19" s="136">
        <f t="shared" si="20"/>
        <v>0</v>
      </c>
      <c r="X19" s="136">
        <f t="shared" si="20"/>
        <v>0</v>
      </c>
      <c r="Y19" s="136">
        <f t="shared" si="20"/>
        <v>0</v>
      </c>
      <c r="Z19" s="136">
        <f t="shared" si="20"/>
        <v>0</v>
      </c>
      <c r="AA19" s="136">
        <f t="shared" si="20"/>
        <v>0</v>
      </c>
      <c r="AB19" s="136">
        <f t="shared" si="20"/>
        <v>0</v>
      </c>
      <c r="AC19" s="136">
        <f t="shared" si="20"/>
        <v>0</v>
      </c>
      <c r="AD19" s="136">
        <f t="shared" si="20"/>
        <v>0</v>
      </c>
      <c r="AE19" s="136">
        <f t="shared" si="20"/>
        <v>0</v>
      </c>
      <c r="AF19" s="136">
        <f t="shared" si="20"/>
        <v>0</v>
      </c>
      <c r="AG19" s="136">
        <f t="shared" si="20"/>
        <v>0</v>
      </c>
      <c r="AH19" s="136">
        <f t="shared" si="20"/>
        <v>0</v>
      </c>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422"/>
    </row>
    <row r="20" spans="3:64" s="180" customFormat="1" ht="15" customHeight="1">
      <c r="C20" s="1348" t="str">
        <f>IF(Indice_index!$Z$1=1,"Outras","Others")</f>
        <v>Others</v>
      </c>
      <c r="D20" s="136"/>
      <c r="E20" s="136" t="s">
        <v>26</v>
      </c>
      <c r="F20" s="97"/>
      <c r="G20" s="136">
        <f t="shared" si="19"/>
        <v>0</v>
      </c>
      <c r="H20" s="136">
        <f t="shared" si="19"/>
        <v>0</v>
      </c>
      <c r="I20" s="136">
        <f t="shared" si="19"/>
        <v>0</v>
      </c>
      <c r="J20" s="136">
        <f t="shared" si="19"/>
        <v>0</v>
      </c>
      <c r="K20" s="136">
        <f t="shared" si="19"/>
        <v>0</v>
      </c>
      <c r="L20" s="136">
        <f t="shared" si="19"/>
        <v>0</v>
      </c>
      <c r="M20" s="136">
        <f t="shared" si="19"/>
        <v>0</v>
      </c>
      <c r="N20" s="136">
        <f t="shared" si="19"/>
        <v>0</v>
      </c>
      <c r="O20" s="136">
        <f t="shared" si="19"/>
        <v>0</v>
      </c>
      <c r="P20" s="136">
        <f t="shared" si="19"/>
        <v>0</v>
      </c>
      <c r="Q20" s="136">
        <f t="shared" si="19"/>
        <v>0</v>
      </c>
      <c r="R20" s="136">
        <f t="shared" si="19"/>
        <v>0</v>
      </c>
      <c r="S20" s="136">
        <f t="shared" si="19"/>
        <v>0</v>
      </c>
      <c r="T20" s="136">
        <f t="shared" si="19"/>
        <v>0</v>
      </c>
      <c r="U20" s="97"/>
      <c r="V20" s="136">
        <f t="shared" si="20"/>
        <v>0</v>
      </c>
      <c r="W20" s="136">
        <f t="shared" si="20"/>
        <v>0</v>
      </c>
      <c r="X20" s="136">
        <f t="shared" si="20"/>
        <v>0</v>
      </c>
      <c r="Y20" s="136">
        <f t="shared" si="20"/>
        <v>0</v>
      </c>
      <c r="Z20" s="136">
        <f t="shared" si="20"/>
        <v>0</v>
      </c>
      <c r="AA20" s="136">
        <f t="shared" si="20"/>
        <v>0</v>
      </c>
      <c r="AB20" s="136">
        <f t="shared" si="20"/>
        <v>0</v>
      </c>
      <c r="AC20" s="136">
        <f t="shared" si="20"/>
        <v>0</v>
      </c>
      <c r="AD20" s="136">
        <f t="shared" si="20"/>
        <v>0</v>
      </c>
      <c r="AE20" s="136">
        <f t="shared" si="20"/>
        <v>0</v>
      </c>
      <c r="AF20" s="136">
        <f t="shared" si="20"/>
        <v>0</v>
      </c>
      <c r="AG20" s="136">
        <f t="shared" si="20"/>
        <v>0</v>
      </c>
      <c r="AH20" s="136">
        <f t="shared" si="20"/>
        <v>0</v>
      </c>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422"/>
    </row>
    <row r="21" spans="3:64" s="180" customFormat="1" ht="15" customHeight="1">
      <c r="C21" s="688" t="str">
        <f>IF(Indice_index!$Z$1=1,"Outras receitas de capital","Other capital revenue")</f>
        <v>Other capital revenue</v>
      </c>
      <c r="D21" s="136"/>
      <c r="E21" s="136" t="s">
        <v>27</v>
      </c>
      <c r="F21" s="97"/>
      <c r="G21" s="136">
        <f t="shared" si="19"/>
        <v>0</v>
      </c>
      <c r="H21" s="136">
        <f t="shared" si="19"/>
        <v>0</v>
      </c>
      <c r="I21" s="136">
        <f t="shared" si="19"/>
        <v>0</v>
      </c>
      <c r="J21" s="136">
        <f t="shared" si="19"/>
        <v>0</v>
      </c>
      <c r="K21" s="136">
        <f t="shared" si="19"/>
        <v>0</v>
      </c>
      <c r="L21" s="136">
        <f t="shared" si="19"/>
        <v>0</v>
      </c>
      <c r="M21" s="136">
        <f t="shared" si="19"/>
        <v>0</v>
      </c>
      <c r="N21" s="136">
        <f t="shared" si="19"/>
        <v>0</v>
      </c>
      <c r="O21" s="136">
        <f t="shared" si="19"/>
        <v>0</v>
      </c>
      <c r="P21" s="136">
        <f t="shared" si="19"/>
        <v>0</v>
      </c>
      <c r="Q21" s="136">
        <f t="shared" si="19"/>
        <v>0</v>
      </c>
      <c r="R21" s="136">
        <f t="shared" si="19"/>
        <v>0</v>
      </c>
      <c r="S21" s="136">
        <f t="shared" si="19"/>
        <v>0</v>
      </c>
      <c r="T21" s="136">
        <f t="shared" si="19"/>
        <v>0</v>
      </c>
      <c r="U21" s="97"/>
      <c r="V21" s="136">
        <f t="shared" si="20"/>
        <v>0</v>
      </c>
      <c r="W21" s="136">
        <f t="shared" si="20"/>
        <v>0</v>
      </c>
      <c r="X21" s="136">
        <f t="shared" si="20"/>
        <v>0</v>
      </c>
      <c r="Y21" s="136">
        <f t="shared" si="20"/>
        <v>0</v>
      </c>
      <c r="Z21" s="136">
        <f t="shared" si="20"/>
        <v>0</v>
      </c>
      <c r="AA21" s="136">
        <f t="shared" si="20"/>
        <v>0</v>
      </c>
      <c r="AB21" s="136">
        <f t="shared" si="20"/>
        <v>0</v>
      </c>
      <c r="AC21" s="136">
        <f t="shared" si="20"/>
        <v>0</v>
      </c>
      <c r="AD21" s="136">
        <f t="shared" si="20"/>
        <v>0</v>
      </c>
      <c r="AE21" s="136">
        <f t="shared" si="20"/>
        <v>0</v>
      </c>
      <c r="AF21" s="136">
        <f t="shared" si="20"/>
        <v>0</v>
      </c>
      <c r="AG21" s="136">
        <f t="shared" si="20"/>
        <v>0</v>
      </c>
      <c r="AH21" s="136">
        <f t="shared" si="20"/>
        <v>0</v>
      </c>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422"/>
    </row>
    <row r="22" spans="3:64" s="180" customFormat="1" ht="4.5" customHeight="1">
      <c r="C22" s="1349"/>
      <c r="D22" s="136"/>
      <c r="E22" s="136"/>
      <c r="F22" s="97"/>
      <c r="G22" s="136"/>
      <c r="H22" s="136"/>
      <c r="I22" s="136"/>
      <c r="J22" s="136"/>
      <c r="K22" s="136"/>
      <c r="L22" s="136"/>
      <c r="M22" s="136"/>
      <c r="N22" s="136"/>
      <c r="O22" s="136"/>
      <c r="P22" s="136"/>
      <c r="Q22" s="136"/>
      <c r="R22" s="136"/>
      <c r="S22" s="136"/>
      <c r="T22" s="136"/>
      <c r="U22" s="97"/>
      <c r="V22" s="136"/>
      <c r="W22" s="136"/>
      <c r="X22" s="136"/>
      <c r="Y22" s="136"/>
      <c r="Z22" s="136"/>
      <c r="AA22" s="136"/>
      <c r="AB22" s="136"/>
      <c r="AC22" s="136"/>
      <c r="AD22" s="136"/>
      <c r="AE22" s="136"/>
      <c r="AF22" s="136"/>
      <c r="AG22" s="136"/>
      <c r="AH22" s="1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422"/>
    </row>
    <row r="23" spans="3:64" s="320" customFormat="1" ht="15" customHeight="1">
      <c r="C23" s="1350" t="str">
        <f>IF(Indice_index!$Z$1=1,"Receita efetiva","Effective revenue")</f>
        <v>Effective revenue</v>
      </c>
      <c r="D23" s="1351"/>
      <c r="E23" s="1352"/>
      <c r="F23" s="251"/>
      <c r="G23" s="1351">
        <f t="shared" ref="G23:T23" si="21">+G8+G16</f>
        <v>58.729722030000005</v>
      </c>
      <c r="H23" s="1352">
        <f t="shared" si="21"/>
        <v>76.155476960000001</v>
      </c>
      <c r="I23" s="1352">
        <f t="shared" si="21"/>
        <v>128.68634004999998</v>
      </c>
      <c r="J23" s="1352">
        <f t="shared" si="21"/>
        <v>69.781900579999984</v>
      </c>
      <c r="K23" s="1352">
        <f t="shared" si="21"/>
        <v>375.48363393000005</v>
      </c>
      <c r="L23" s="1352">
        <f t="shared" si="21"/>
        <v>89.418738279999999</v>
      </c>
      <c r="M23" s="1352">
        <f t="shared" si="21"/>
        <v>22.32705601</v>
      </c>
      <c r="N23" s="1352">
        <f t="shared" si="21"/>
        <v>16.159748709999999</v>
      </c>
      <c r="O23" s="1352">
        <f t="shared" si="21"/>
        <v>22.437207060000002</v>
      </c>
      <c r="P23" s="1352">
        <f t="shared" si="21"/>
        <v>74.431590709999995</v>
      </c>
      <c r="Q23" s="1352">
        <f t="shared" si="21"/>
        <v>653.0488730300001</v>
      </c>
      <c r="R23" s="1352">
        <f t="shared" si="21"/>
        <v>552.70443967999995</v>
      </c>
      <c r="S23" s="1352">
        <f t="shared" si="21"/>
        <v>708.83707355000013</v>
      </c>
      <c r="T23" s="1351">
        <f t="shared" si="21"/>
        <v>2139.3647270299998</v>
      </c>
      <c r="U23" s="251"/>
      <c r="V23" s="1351">
        <f t="shared" ref="V23:AH23" si="22">+V8+V16</f>
        <v>81.355944469999997</v>
      </c>
      <c r="W23" s="1352">
        <f t="shared" si="22"/>
        <v>49.06931307</v>
      </c>
      <c r="X23" s="1352">
        <f t="shared" si="22"/>
        <v>82.151623739999991</v>
      </c>
      <c r="Y23" s="1352">
        <f t="shared" si="22"/>
        <v>52.417114399999996</v>
      </c>
      <c r="Z23" s="1352">
        <f t="shared" si="22"/>
        <v>326.45193912000002</v>
      </c>
      <c r="AA23" s="1352">
        <f t="shared" si="22"/>
        <v>0</v>
      </c>
      <c r="AB23" s="1352">
        <f t="shared" si="22"/>
        <v>0</v>
      </c>
      <c r="AC23" s="1352">
        <f t="shared" si="22"/>
        <v>0</v>
      </c>
      <c r="AD23" s="1352">
        <f t="shared" si="22"/>
        <v>0</v>
      </c>
      <c r="AE23" s="1352">
        <f t="shared" si="22"/>
        <v>0</v>
      </c>
      <c r="AF23" s="1352">
        <f t="shared" si="22"/>
        <v>0</v>
      </c>
      <c r="AG23" s="1352">
        <f t="shared" si="22"/>
        <v>0</v>
      </c>
      <c r="AH23" s="1351">
        <f t="shared" si="22"/>
        <v>591.44593480000003</v>
      </c>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423"/>
    </row>
    <row r="24" spans="3:64" s="180" customFormat="1" ht="4.5" customHeight="1">
      <c r="C24" s="1349"/>
      <c r="D24" s="136"/>
      <c r="E24" s="136"/>
      <c r="F24" s="97"/>
      <c r="G24" s="136"/>
      <c r="H24" s="136"/>
      <c r="I24" s="136"/>
      <c r="J24" s="136"/>
      <c r="K24" s="136"/>
      <c r="L24" s="136"/>
      <c r="M24" s="136"/>
      <c r="N24" s="136"/>
      <c r="O24" s="136"/>
      <c r="P24" s="136"/>
      <c r="Q24" s="136"/>
      <c r="R24" s="136"/>
      <c r="S24" s="136"/>
      <c r="T24" s="136"/>
      <c r="U24" s="97"/>
      <c r="V24" s="136"/>
      <c r="W24" s="136"/>
      <c r="X24" s="136"/>
      <c r="Y24" s="136"/>
      <c r="Z24" s="136"/>
      <c r="AA24" s="136"/>
      <c r="AB24" s="136"/>
      <c r="AC24" s="136"/>
      <c r="AD24" s="136"/>
      <c r="AE24" s="136"/>
      <c r="AF24" s="136"/>
      <c r="AG24" s="136"/>
      <c r="AH24" s="1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422"/>
    </row>
    <row r="25" spans="3:64" s="319" customFormat="1" ht="15" customHeight="1">
      <c r="C25" s="320" t="str">
        <f>IF(Indice_index!$Z$1=1,"Despesa corrente","Current expenditure")</f>
        <v>Current expenditure</v>
      </c>
      <c r="D25" s="1347"/>
      <c r="E25" s="1347"/>
      <c r="F25" s="251"/>
      <c r="G25" s="1347">
        <f t="shared" ref="G25:R25" si="23">+G26+G27+G28+G29+G32+G33</f>
        <v>44.129766109999998</v>
      </c>
      <c r="H25" s="1347">
        <f t="shared" si="23"/>
        <v>0</v>
      </c>
      <c r="I25" s="1347">
        <f t="shared" si="23"/>
        <v>87.3</v>
      </c>
      <c r="J25" s="1347">
        <f t="shared" si="23"/>
        <v>5.8756139999999988</v>
      </c>
      <c r="K25" s="1347">
        <f t="shared" si="23"/>
        <v>0</v>
      </c>
      <c r="L25" s="1347">
        <f t="shared" si="23"/>
        <v>0</v>
      </c>
      <c r="M25" s="1347">
        <f t="shared" si="23"/>
        <v>-270.43729654000003</v>
      </c>
      <c r="N25" s="1347">
        <f t="shared" si="23"/>
        <v>334.63643481999998</v>
      </c>
      <c r="O25" s="1347">
        <f t="shared" si="23"/>
        <v>9.7948094399999945</v>
      </c>
      <c r="P25" s="1347">
        <f t="shared" si="23"/>
        <v>5.8698915900000319</v>
      </c>
      <c r="Q25" s="1347">
        <f t="shared" si="23"/>
        <v>-1.2073909999969601E-2</v>
      </c>
      <c r="R25" s="1347">
        <f t="shared" si="23"/>
        <v>571.33993764000002</v>
      </c>
      <c r="S25" s="1347">
        <f>+S26+S27+S28+S29+S32+S33</f>
        <v>137.30538010999999</v>
      </c>
      <c r="T25" s="1347">
        <f>SUM(G25:R25)</f>
        <v>788.49708314999998</v>
      </c>
      <c r="U25" s="251"/>
      <c r="V25" s="1347">
        <f t="shared" ref="V25:AG25" si="24">+V26+V27+V28+V29+V32+V33</f>
        <v>21.59949417</v>
      </c>
      <c r="W25" s="1347">
        <f t="shared" si="24"/>
        <v>6.1171480000000003</v>
      </c>
      <c r="X25" s="1347">
        <f t="shared" si="24"/>
        <v>1.9571480000000001</v>
      </c>
      <c r="Y25" s="1347">
        <f t="shared" si="24"/>
        <v>1.9571480000000001</v>
      </c>
      <c r="Z25" s="1347">
        <f t="shared" si="24"/>
        <v>1.9571480000000001</v>
      </c>
      <c r="AA25" s="1347">
        <f t="shared" si="24"/>
        <v>0</v>
      </c>
      <c r="AB25" s="1347">
        <f t="shared" si="24"/>
        <v>0</v>
      </c>
      <c r="AC25" s="1347">
        <f t="shared" si="24"/>
        <v>0</v>
      </c>
      <c r="AD25" s="1347">
        <f t="shared" si="24"/>
        <v>0</v>
      </c>
      <c r="AE25" s="1347">
        <f t="shared" si="24"/>
        <v>0</v>
      </c>
      <c r="AF25" s="1347">
        <f t="shared" si="24"/>
        <v>0</v>
      </c>
      <c r="AG25" s="1347">
        <f t="shared" si="24"/>
        <v>0</v>
      </c>
      <c r="AH25" s="1347">
        <f>SUM(V25:AG25)</f>
        <v>33.588086169999997</v>
      </c>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423"/>
    </row>
    <row r="26" spans="3:64" s="180" customFormat="1" ht="15" customHeight="1">
      <c r="C26" s="688" t="str">
        <f>IF(Indice_index!$Z$1=1,"Despesas com o pessoal","Employees")</f>
        <v>Employees</v>
      </c>
      <c r="D26" s="136"/>
      <c r="E26" s="136" t="s">
        <v>28</v>
      </c>
      <c r="F26" s="97"/>
      <c r="G26" s="136">
        <f t="shared" ref="G26:T28" si="25">+SUMIF($E$56:$E$85,$E26,G$56:G$85)</f>
        <v>38.25415211</v>
      </c>
      <c r="H26" s="136">
        <f t="shared" si="25"/>
        <v>0</v>
      </c>
      <c r="I26" s="136">
        <f t="shared" si="25"/>
        <v>0</v>
      </c>
      <c r="J26" s="136">
        <f t="shared" si="25"/>
        <v>0</v>
      </c>
      <c r="K26" s="136">
        <f t="shared" si="25"/>
        <v>0</v>
      </c>
      <c r="L26" s="136">
        <f t="shared" si="25"/>
        <v>0</v>
      </c>
      <c r="M26" s="136">
        <f t="shared" si="25"/>
        <v>0</v>
      </c>
      <c r="N26" s="136">
        <f t="shared" si="25"/>
        <v>0</v>
      </c>
      <c r="O26" s="136">
        <f t="shared" si="25"/>
        <v>0</v>
      </c>
      <c r="P26" s="136">
        <f t="shared" si="25"/>
        <v>0</v>
      </c>
      <c r="Q26" s="136">
        <f t="shared" si="25"/>
        <v>0</v>
      </c>
      <c r="R26" s="136">
        <f t="shared" si="25"/>
        <v>0</v>
      </c>
      <c r="S26" s="136">
        <f t="shared" si="25"/>
        <v>38.25415211</v>
      </c>
      <c r="T26" s="136">
        <f t="shared" si="25"/>
        <v>38.25415211</v>
      </c>
      <c r="U26" s="97"/>
      <c r="V26" s="136">
        <f t="shared" ref="V26:AH28" si="26">+SUMIF($E$56:$E$85,$E26,V$56:V$85)</f>
        <v>1.3520901699999999</v>
      </c>
      <c r="W26" s="136">
        <f t="shared" si="26"/>
        <v>0</v>
      </c>
      <c r="X26" s="136">
        <f t="shared" si="26"/>
        <v>0</v>
      </c>
      <c r="Y26" s="136">
        <f t="shared" si="26"/>
        <v>0</v>
      </c>
      <c r="Z26" s="136">
        <f t="shared" si="26"/>
        <v>0</v>
      </c>
      <c r="AA26" s="136">
        <f t="shared" si="26"/>
        <v>0</v>
      </c>
      <c r="AB26" s="136">
        <f t="shared" si="26"/>
        <v>0</v>
      </c>
      <c r="AC26" s="136">
        <f t="shared" si="26"/>
        <v>0</v>
      </c>
      <c r="AD26" s="136">
        <f t="shared" si="26"/>
        <v>0</v>
      </c>
      <c r="AE26" s="136">
        <f t="shared" si="26"/>
        <v>0</v>
      </c>
      <c r="AF26" s="136">
        <f t="shared" si="26"/>
        <v>0</v>
      </c>
      <c r="AG26" s="136">
        <f t="shared" si="26"/>
        <v>0</v>
      </c>
      <c r="AH26" s="136">
        <f t="shared" si="26"/>
        <v>1.3520901699999999</v>
      </c>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422"/>
    </row>
    <row r="27" spans="3:64" s="180" customFormat="1" ht="15" customHeight="1">
      <c r="C27" s="688" t="str">
        <f>IF(Indice_index!$Z$1=1,"Aquisição de bens e serviços","Purchase of goods and services")</f>
        <v>Purchase of goods and services</v>
      </c>
      <c r="D27" s="136"/>
      <c r="E27" s="136" t="s">
        <v>29</v>
      </c>
      <c r="F27" s="97"/>
      <c r="G27" s="136">
        <f t="shared" si="25"/>
        <v>0</v>
      </c>
      <c r="H27" s="136">
        <f t="shared" si="25"/>
        <v>0</v>
      </c>
      <c r="I27" s="136">
        <f t="shared" si="25"/>
        <v>0</v>
      </c>
      <c r="J27" s="136">
        <f t="shared" si="25"/>
        <v>0</v>
      </c>
      <c r="K27" s="136">
        <f t="shared" si="25"/>
        <v>0</v>
      </c>
      <c r="L27" s="136">
        <f t="shared" si="25"/>
        <v>0</v>
      </c>
      <c r="M27" s="136">
        <f t="shared" si="25"/>
        <v>0</v>
      </c>
      <c r="N27" s="136">
        <f t="shared" si="25"/>
        <v>0</v>
      </c>
      <c r="O27" s="136">
        <f t="shared" si="25"/>
        <v>0</v>
      </c>
      <c r="P27" s="136">
        <f t="shared" si="25"/>
        <v>0</v>
      </c>
      <c r="Q27" s="136">
        <f t="shared" si="25"/>
        <v>0</v>
      </c>
      <c r="R27" s="136">
        <f t="shared" si="25"/>
        <v>-115.58609199999999</v>
      </c>
      <c r="S27" s="136">
        <f t="shared" si="25"/>
        <v>0</v>
      </c>
      <c r="T27" s="136">
        <f t="shared" si="25"/>
        <v>-115.58609199999999</v>
      </c>
      <c r="U27" s="97"/>
      <c r="V27" s="136">
        <f t="shared" si="26"/>
        <v>18.290255999999999</v>
      </c>
      <c r="W27" s="136">
        <f t="shared" si="26"/>
        <v>0</v>
      </c>
      <c r="X27" s="136">
        <f t="shared" si="26"/>
        <v>0</v>
      </c>
      <c r="Y27" s="136">
        <f t="shared" si="26"/>
        <v>0</v>
      </c>
      <c r="Z27" s="136">
        <f t="shared" si="26"/>
        <v>0</v>
      </c>
      <c r="AA27" s="136">
        <f t="shared" si="26"/>
        <v>0</v>
      </c>
      <c r="AB27" s="136">
        <f t="shared" si="26"/>
        <v>0</v>
      </c>
      <c r="AC27" s="136">
        <f t="shared" si="26"/>
        <v>0</v>
      </c>
      <c r="AD27" s="136">
        <f t="shared" si="26"/>
        <v>0</v>
      </c>
      <c r="AE27" s="136">
        <f t="shared" si="26"/>
        <v>0</v>
      </c>
      <c r="AF27" s="136">
        <f t="shared" si="26"/>
        <v>0</v>
      </c>
      <c r="AG27" s="136">
        <f t="shared" si="26"/>
        <v>0</v>
      </c>
      <c r="AH27" s="136">
        <f t="shared" si="26"/>
        <v>18.290255999999999</v>
      </c>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422"/>
    </row>
    <row r="28" spans="3:64" s="180" customFormat="1" ht="15" customHeight="1">
      <c r="C28" s="688" t="str">
        <f>IF(Indice_index!$Z$1=1,"Juros e outros encargos","Interests and other charges")</f>
        <v>Interests and other charges</v>
      </c>
      <c r="D28" s="136"/>
      <c r="E28" s="136" t="s">
        <v>30</v>
      </c>
      <c r="F28" s="97"/>
      <c r="G28" s="136">
        <f t="shared" si="25"/>
        <v>0</v>
      </c>
      <c r="H28" s="136">
        <f t="shared" si="25"/>
        <v>0</v>
      </c>
      <c r="I28" s="136">
        <f t="shared" si="25"/>
        <v>0</v>
      </c>
      <c r="J28" s="136">
        <f t="shared" si="25"/>
        <v>0</v>
      </c>
      <c r="K28" s="136">
        <f t="shared" si="25"/>
        <v>0</v>
      </c>
      <c r="L28" s="136">
        <f t="shared" si="25"/>
        <v>0</v>
      </c>
      <c r="M28" s="136">
        <f t="shared" si="25"/>
        <v>-286.65263454000001</v>
      </c>
      <c r="N28" s="136">
        <f t="shared" si="25"/>
        <v>0</v>
      </c>
      <c r="O28" s="136">
        <f t="shared" si="25"/>
        <v>0</v>
      </c>
      <c r="P28" s="136">
        <f t="shared" si="25"/>
        <v>0</v>
      </c>
      <c r="Q28" s="136">
        <f t="shared" si="25"/>
        <v>0</v>
      </c>
      <c r="R28" s="136">
        <f t="shared" si="25"/>
        <v>0</v>
      </c>
      <c r="S28" s="136">
        <f t="shared" si="25"/>
        <v>0</v>
      </c>
      <c r="T28" s="136">
        <f t="shared" si="25"/>
        <v>-286.65263454000001</v>
      </c>
      <c r="U28" s="97"/>
      <c r="V28" s="136">
        <f t="shared" si="26"/>
        <v>0</v>
      </c>
      <c r="W28" s="136">
        <f t="shared" si="26"/>
        <v>0</v>
      </c>
      <c r="X28" s="136">
        <f t="shared" si="26"/>
        <v>0</v>
      </c>
      <c r="Y28" s="136">
        <f t="shared" si="26"/>
        <v>0</v>
      </c>
      <c r="Z28" s="136">
        <f t="shared" si="26"/>
        <v>0</v>
      </c>
      <c r="AA28" s="136">
        <f t="shared" si="26"/>
        <v>0</v>
      </c>
      <c r="AB28" s="136">
        <f t="shared" si="26"/>
        <v>0</v>
      </c>
      <c r="AC28" s="136">
        <f t="shared" si="26"/>
        <v>0</v>
      </c>
      <c r="AD28" s="136">
        <f t="shared" si="26"/>
        <v>0</v>
      </c>
      <c r="AE28" s="136">
        <f t="shared" si="26"/>
        <v>0</v>
      </c>
      <c r="AF28" s="136">
        <f t="shared" si="26"/>
        <v>0</v>
      </c>
      <c r="AG28" s="136">
        <f t="shared" si="26"/>
        <v>0</v>
      </c>
      <c r="AH28" s="136">
        <f t="shared" si="26"/>
        <v>0</v>
      </c>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422"/>
    </row>
    <row r="29" spans="3:64" s="180" customFormat="1" ht="15" customHeight="1">
      <c r="C29" s="688" t="str">
        <f>IF(Indice_index!$Z$1=1,"Transferências Correntes","Current transfers")</f>
        <v>Current transfers</v>
      </c>
      <c r="D29" s="136"/>
      <c r="E29" s="136" t="s">
        <v>31</v>
      </c>
      <c r="F29" s="97"/>
      <c r="G29" s="136">
        <f t="shared" ref="G29:T29" si="27">+G30+G31</f>
        <v>5.8756139999999997</v>
      </c>
      <c r="H29" s="136">
        <f t="shared" si="27"/>
        <v>0</v>
      </c>
      <c r="I29" s="136">
        <f t="shared" si="27"/>
        <v>87.3</v>
      </c>
      <c r="J29" s="136">
        <f t="shared" si="27"/>
        <v>5.8756139999999988</v>
      </c>
      <c r="K29" s="136">
        <f t="shared" si="27"/>
        <v>0</v>
      </c>
      <c r="L29" s="136">
        <f t="shared" si="27"/>
        <v>0</v>
      </c>
      <c r="M29" s="136">
        <f t="shared" si="27"/>
        <v>16.215338000000003</v>
      </c>
      <c r="N29" s="136">
        <f t="shared" si="27"/>
        <v>334.63643481999998</v>
      </c>
      <c r="O29" s="136">
        <f t="shared" si="27"/>
        <v>9.7948094399999981</v>
      </c>
      <c r="P29" s="136">
        <f t="shared" si="27"/>
        <v>5.8698915900000319</v>
      </c>
      <c r="Q29" s="136">
        <f t="shared" si="27"/>
        <v>-1.2073909999966621E-2</v>
      </c>
      <c r="R29" s="136">
        <f t="shared" si="27"/>
        <v>686.92602964000002</v>
      </c>
      <c r="S29" s="136">
        <f t="shared" si="27"/>
        <v>99.051227999999995</v>
      </c>
      <c r="T29" s="136">
        <f t="shared" si="27"/>
        <v>1152.4816575800003</v>
      </c>
      <c r="U29" s="97"/>
      <c r="V29" s="136">
        <f t="shared" ref="V29:AH29" si="28">+V30+V31</f>
        <v>1.9571480000000001</v>
      </c>
      <c r="W29" s="136">
        <f t="shared" si="28"/>
        <v>6.1171480000000003</v>
      </c>
      <c r="X29" s="136">
        <f t="shared" si="28"/>
        <v>1.9571480000000001</v>
      </c>
      <c r="Y29" s="136">
        <f t="shared" si="28"/>
        <v>1.9571480000000001</v>
      </c>
      <c r="Z29" s="136">
        <f t="shared" si="28"/>
        <v>1.9571480000000001</v>
      </c>
      <c r="AA29" s="136">
        <f t="shared" si="28"/>
        <v>0</v>
      </c>
      <c r="AB29" s="136">
        <f t="shared" si="28"/>
        <v>0</v>
      </c>
      <c r="AC29" s="136">
        <f t="shared" si="28"/>
        <v>0</v>
      </c>
      <c r="AD29" s="136">
        <f t="shared" si="28"/>
        <v>0</v>
      </c>
      <c r="AE29" s="136">
        <f t="shared" si="28"/>
        <v>0</v>
      </c>
      <c r="AF29" s="136">
        <f t="shared" si="28"/>
        <v>0</v>
      </c>
      <c r="AG29" s="136">
        <f t="shared" si="28"/>
        <v>0</v>
      </c>
      <c r="AH29" s="136">
        <f t="shared" si="28"/>
        <v>13.945740000000001</v>
      </c>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422"/>
    </row>
    <row r="30" spans="3:64" s="180" customFormat="1" ht="15" customHeight="1">
      <c r="C30" s="1348" t="str">
        <f>IF(Indice_index!$Z$1=1,"Administrações Públicas","General Government subsectors")</f>
        <v>General Government subsectors</v>
      </c>
      <c r="D30" s="136"/>
      <c r="E30" s="136" t="s">
        <v>87</v>
      </c>
      <c r="F30" s="97"/>
      <c r="G30" s="136">
        <f t="shared" ref="G30:T33" si="29">+SUMIF($E$56:$E$85,$E30,G$56:G$85)</f>
        <v>5.8756139999999997</v>
      </c>
      <c r="H30" s="136">
        <f t="shared" si="29"/>
        <v>0</v>
      </c>
      <c r="I30" s="136">
        <f t="shared" si="29"/>
        <v>0</v>
      </c>
      <c r="J30" s="136">
        <f t="shared" si="29"/>
        <v>5.8756139999999988</v>
      </c>
      <c r="K30" s="136">
        <f t="shared" si="29"/>
        <v>0</v>
      </c>
      <c r="L30" s="136">
        <f t="shared" si="29"/>
        <v>0</v>
      </c>
      <c r="M30" s="136">
        <f t="shared" si="29"/>
        <v>5.8753380000000011</v>
      </c>
      <c r="N30" s="136">
        <f t="shared" si="29"/>
        <v>334.63643481999998</v>
      </c>
      <c r="O30" s="136">
        <f t="shared" si="29"/>
        <v>9.7948094399999981</v>
      </c>
      <c r="P30" s="136">
        <f t="shared" si="29"/>
        <v>5.8698915900000319</v>
      </c>
      <c r="Q30" s="136">
        <f t="shared" si="29"/>
        <v>-1.2073909999966621E-2</v>
      </c>
      <c r="R30" s="136">
        <f t="shared" si="29"/>
        <v>686.92602964000002</v>
      </c>
      <c r="S30" s="136">
        <f t="shared" si="29"/>
        <v>11.751227999999998</v>
      </c>
      <c r="T30" s="136">
        <f t="shared" si="29"/>
        <v>1054.8416575800002</v>
      </c>
      <c r="U30" s="97"/>
      <c r="V30" s="136">
        <f t="shared" ref="V30:AH33" si="30">+SUMIF($E$56:$E$85,$E30,V$56:V$85)</f>
        <v>1.9571480000000001</v>
      </c>
      <c r="W30" s="136">
        <f t="shared" si="30"/>
        <v>1.9571480000000001</v>
      </c>
      <c r="X30" s="136">
        <f t="shared" si="30"/>
        <v>1.9571480000000001</v>
      </c>
      <c r="Y30" s="136">
        <f t="shared" si="30"/>
        <v>1.9571480000000001</v>
      </c>
      <c r="Z30" s="136">
        <f t="shared" si="30"/>
        <v>1.9571480000000001</v>
      </c>
      <c r="AA30" s="136">
        <f t="shared" si="30"/>
        <v>0</v>
      </c>
      <c r="AB30" s="136">
        <f t="shared" si="30"/>
        <v>0</v>
      </c>
      <c r="AC30" s="136">
        <f t="shared" si="30"/>
        <v>0</v>
      </c>
      <c r="AD30" s="136">
        <f t="shared" si="30"/>
        <v>0</v>
      </c>
      <c r="AE30" s="136">
        <f t="shared" si="30"/>
        <v>0</v>
      </c>
      <c r="AF30" s="136">
        <f t="shared" si="30"/>
        <v>0</v>
      </c>
      <c r="AG30" s="136">
        <f t="shared" si="30"/>
        <v>0</v>
      </c>
      <c r="AH30" s="136">
        <f t="shared" si="30"/>
        <v>9.7857400000000005</v>
      </c>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422"/>
    </row>
    <row r="31" spans="3:64" s="180" customFormat="1" ht="15" customHeight="1">
      <c r="C31" s="1348" t="str">
        <f>IF(Indice_index!$Z$1=1,"Outras","Others")</f>
        <v>Others</v>
      </c>
      <c r="D31" s="136"/>
      <c r="E31" s="136" t="s">
        <v>32</v>
      </c>
      <c r="F31" s="97"/>
      <c r="G31" s="136">
        <f t="shared" si="29"/>
        <v>0</v>
      </c>
      <c r="H31" s="136">
        <f t="shared" si="29"/>
        <v>0</v>
      </c>
      <c r="I31" s="136">
        <f t="shared" si="29"/>
        <v>87.3</v>
      </c>
      <c r="J31" s="136">
        <f t="shared" si="29"/>
        <v>0</v>
      </c>
      <c r="K31" s="136">
        <f t="shared" si="29"/>
        <v>0</v>
      </c>
      <c r="L31" s="136">
        <f t="shared" si="29"/>
        <v>0</v>
      </c>
      <c r="M31" s="136">
        <f t="shared" si="29"/>
        <v>10.34</v>
      </c>
      <c r="N31" s="136">
        <f t="shared" si="29"/>
        <v>0</v>
      </c>
      <c r="O31" s="136">
        <f t="shared" si="29"/>
        <v>0</v>
      </c>
      <c r="P31" s="136">
        <f t="shared" si="29"/>
        <v>0</v>
      </c>
      <c r="Q31" s="136">
        <f t="shared" si="29"/>
        <v>0</v>
      </c>
      <c r="R31" s="136">
        <f t="shared" si="29"/>
        <v>0</v>
      </c>
      <c r="S31" s="136">
        <f t="shared" si="29"/>
        <v>87.3</v>
      </c>
      <c r="T31" s="136">
        <f t="shared" si="29"/>
        <v>97.64</v>
      </c>
      <c r="U31" s="97"/>
      <c r="V31" s="136">
        <f t="shared" si="30"/>
        <v>0</v>
      </c>
      <c r="W31" s="136">
        <f t="shared" si="30"/>
        <v>4.16</v>
      </c>
      <c r="X31" s="136">
        <f t="shared" si="30"/>
        <v>0</v>
      </c>
      <c r="Y31" s="136">
        <f t="shared" si="30"/>
        <v>0</v>
      </c>
      <c r="Z31" s="136">
        <f t="shared" si="30"/>
        <v>0</v>
      </c>
      <c r="AA31" s="136">
        <f t="shared" si="30"/>
        <v>0</v>
      </c>
      <c r="AB31" s="136">
        <f t="shared" si="30"/>
        <v>0</v>
      </c>
      <c r="AC31" s="136">
        <f t="shared" si="30"/>
        <v>0</v>
      </c>
      <c r="AD31" s="136">
        <f t="shared" si="30"/>
        <v>0</v>
      </c>
      <c r="AE31" s="136">
        <f t="shared" si="30"/>
        <v>0</v>
      </c>
      <c r="AF31" s="136">
        <f t="shared" si="30"/>
        <v>0</v>
      </c>
      <c r="AG31" s="136">
        <f t="shared" si="30"/>
        <v>0</v>
      </c>
      <c r="AH31" s="136">
        <f t="shared" si="30"/>
        <v>4.16</v>
      </c>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422"/>
    </row>
    <row r="32" spans="3:64" s="180" customFormat="1" ht="15" customHeight="1">
      <c r="C32" s="688" t="str">
        <f>IF(Indice_index!$Z$1=1,"Subsídios","Subsidies")</f>
        <v>Subsidies</v>
      </c>
      <c r="D32" s="136"/>
      <c r="E32" s="136" t="s">
        <v>33</v>
      </c>
      <c r="F32" s="97"/>
      <c r="G32" s="136">
        <f t="shared" si="29"/>
        <v>0</v>
      </c>
      <c r="H32" s="136">
        <f t="shared" si="29"/>
        <v>0</v>
      </c>
      <c r="I32" s="136">
        <f t="shared" si="29"/>
        <v>0</v>
      </c>
      <c r="J32" s="136">
        <f t="shared" si="29"/>
        <v>0</v>
      </c>
      <c r="K32" s="136">
        <f t="shared" si="29"/>
        <v>0</v>
      </c>
      <c r="L32" s="136">
        <f t="shared" si="29"/>
        <v>0</v>
      </c>
      <c r="M32" s="136">
        <f t="shared" si="29"/>
        <v>0</v>
      </c>
      <c r="N32" s="136">
        <f t="shared" si="29"/>
        <v>0</v>
      </c>
      <c r="O32" s="136">
        <f t="shared" si="29"/>
        <v>47.518923000000001</v>
      </c>
      <c r="P32" s="136">
        <f t="shared" si="29"/>
        <v>0</v>
      </c>
      <c r="Q32" s="136">
        <f t="shared" si="29"/>
        <v>-47.518923000000001</v>
      </c>
      <c r="R32" s="136">
        <f t="shared" si="29"/>
        <v>0</v>
      </c>
      <c r="S32" s="136">
        <f t="shared" si="29"/>
        <v>0</v>
      </c>
      <c r="T32" s="136">
        <f t="shared" si="29"/>
        <v>0</v>
      </c>
      <c r="U32" s="97"/>
      <c r="V32" s="136">
        <f t="shared" si="30"/>
        <v>0</v>
      </c>
      <c r="W32" s="136">
        <f t="shared" si="30"/>
        <v>0</v>
      </c>
      <c r="X32" s="136">
        <f t="shared" si="30"/>
        <v>0</v>
      </c>
      <c r="Y32" s="136">
        <f t="shared" si="30"/>
        <v>0</v>
      </c>
      <c r="Z32" s="136">
        <f t="shared" si="30"/>
        <v>0</v>
      </c>
      <c r="AA32" s="136">
        <f t="shared" si="30"/>
        <v>0</v>
      </c>
      <c r="AB32" s="136">
        <f t="shared" si="30"/>
        <v>0</v>
      </c>
      <c r="AC32" s="136">
        <f t="shared" si="30"/>
        <v>0</v>
      </c>
      <c r="AD32" s="136">
        <f t="shared" si="30"/>
        <v>0</v>
      </c>
      <c r="AE32" s="136">
        <f t="shared" si="30"/>
        <v>0</v>
      </c>
      <c r="AF32" s="136">
        <f t="shared" si="30"/>
        <v>0</v>
      </c>
      <c r="AG32" s="136">
        <f t="shared" si="30"/>
        <v>0</v>
      </c>
      <c r="AH32" s="136">
        <f t="shared" si="30"/>
        <v>0</v>
      </c>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422"/>
    </row>
    <row r="33" spans="3:64" s="180" customFormat="1" ht="15" customHeight="1">
      <c r="C33" s="688" t="str">
        <f>IF(Indice_index!$Z$1=1,"Outras despesas correntes","Other current expenditure")</f>
        <v>Other current expenditure</v>
      </c>
      <c r="D33" s="136"/>
      <c r="E33" s="136" t="s">
        <v>34</v>
      </c>
      <c r="F33" s="97"/>
      <c r="G33" s="136">
        <f t="shared" si="29"/>
        <v>0</v>
      </c>
      <c r="H33" s="136">
        <f t="shared" si="29"/>
        <v>0</v>
      </c>
      <c r="I33" s="136">
        <f t="shared" si="29"/>
        <v>0</v>
      </c>
      <c r="J33" s="136">
        <f t="shared" si="29"/>
        <v>0</v>
      </c>
      <c r="K33" s="136">
        <f t="shared" si="29"/>
        <v>0</v>
      </c>
      <c r="L33" s="136">
        <f t="shared" si="29"/>
        <v>0</v>
      </c>
      <c r="M33" s="136">
        <f t="shared" si="29"/>
        <v>0</v>
      </c>
      <c r="N33" s="136">
        <f t="shared" si="29"/>
        <v>0</v>
      </c>
      <c r="O33" s="136">
        <f t="shared" si="29"/>
        <v>-47.518923000000001</v>
      </c>
      <c r="P33" s="136">
        <f t="shared" si="29"/>
        <v>0</v>
      </c>
      <c r="Q33" s="136">
        <f t="shared" si="29"/>
        <v>47.518923000000001</v>
      </c>
      <c r="R33" s="136">
        <f t="shared" si="29"/>
        <v>0</v>
      </c>
      <c r="S33" s="136">
        <f t="shared" si="29"/>
        <v>0</v>
      </c>
      <c r="T33" s="136">
        <f t="shared" si="29"/>
        <v>0</v>
      </c>
      <c r="U33" s="97"/>
      <c r="V33" s="136">
        <f t="shared" si="30"/>
        <v>0</v>
      </c>
      <c r="W33" s="136">
        <f t="shared" si="30"/>
        <v>0</v>
      </c>
      <c r="X33" s="136">
        <f t="shared" si="30"/>
        <v>0</v>
      </c>
      <c r="Y33" s="136">
        <f t="shared" si="30"/>
        <v>0</v>
      </c>
      <c r="Z33" s="136">
        <f t="shared" si="30"/>
        <v>0</v>
      </c>
      <c r="AA33" s="136">
        <f t="shared" si="30"/>
        <v>0</v>
      </c>
      <c r="AB33" s="136">
        <f t="shared" si="30"/>
        <v>0</v>
      </c>
      <c r="AC33" s="136">
        <f t="shared" si="30"/>
        <v>0</v>
      </c>
      <c r="AD33" s="136">
        <f t="shared" si="30"/>
        <v>0</v>
      </c>
      <c r="AE33" s="136">
        <f t="shared" si="30"/>
        <v>0</v>
      </c>
      <c r="AF33" s="136">
        <f t="shared" si="30"/>
        <v>0</v>
      </c>
      <c r="AG33" s="136">
        <f t="shared" si="30"/>
        <v>0</v>
      </c>
      <c r="AH33" s="136">
        <f t="shared" si="30"/>
        <v>0</v>
      </c>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422"/>
    </row>
    <row r="34" spans="3:64" s="319" customFormat="1" ht="15" customHeight="1">
      <c r="C34" s="320" t="str">
        <f>IF(Indice_index!$Z$1=1,"Despesa de capital","Capital expenditure")</f>
        <v>Capital expenditure</v>
      </c>
      <c r="D34" s="1347"/>
      <c r="E34" s="1347"/>
      <c r="F34" s="251"/>
      <c r="G34" s="1347">
        <f t="shared" ref="G34:S34" si="31">+G35+G36+G39</f>
        <v>13.88124</v>
      </c>
      <c r="H34" s="1347">
        <f t="shared" si="31"/>
        <v>14.138688</v>
      </c>
      <c r="I34" s="1347">
        <f t="shared" si="31"/>
        <v>13.929066999999996</v>
      </c>
      <c r="J34" s="1347">
        <f t="shared" si="31"/>
        <v>52.205551000000007</v>
      </c>
      <c r="K34" s="1347">
        <f t="shared" si="31"/>
        <v>15.331340999999995</v>
      </c>
      <c r="L34" s="1347">
        <f t="shared" si="31"/>
        <v>332.31218000000001</v>
      </c>
      <c r="M34" s="1347">
        <f t="shared" si="31"/>
        <v>13.865550999999996</v>
      </c>
      <c r="N34" s="1347">
        <f t="shared" si="31"/>
        <v>15.335550999999995</v>
      </c>
      <c r="O34" s="1347">
        <f t="shared" si="31"/>
        <v>68.196328999999992</v>
      </c>
      <c r="P34" s="1347">
        <f t="shared" si="31"/>
        <v>15.418551000000015</v>
      </c>
      <c r="Q34" s="1347">
        <f t="shared" si="31"/>
        <v>37.195811999999975</v>
      </c>
      <c r="R34" s="1347">
        <f t="shared" si="31"/>
        <v>239.87069623999997</v>
      </c>
      <c r="S34" s="1347">
        <f t="shared" si="31"/>
        <v>109.48588699999999</v>
      </c>
      <c r="T34" s="1347">
        <f t="shared" ref="T34" si="32">SUM(G34:R34)</f>
        <v>831.68055723999987</v>
      </c>
      <c r="U34" s="251"/>
      <c r="V34" s="1347">
        <f t="shared" ref="V34:AG34" si="33">+V35+V36+V39</f>
        <v>15.434239999999999</v>
      </c>
      <c r="W34" s="1347">
        <f t="shared" si="33"/>
        <v>13.88124</v>
      </c>
      <c r="X34" s="1347">
        <f t="shared" si="33"/>
        <v>16.98774264</v>
      </c>
      <c r="Y34" s="1347">
        <f t="shared" si="33"/>
        <v>15.434491319999998</v>
      </c>
      <c r="Z34" s="1347">
        <f t="shared" si="33"/>
        <v>15.389491319999998</v>
      </c>
      <c r="AA34" s="1347">
        <f t="shared" si="33"/>
        <v>0</v>
      </c>
      <c r="AB34" s="1347">
        <f t="shared" si="33"/>
        <v>0</v>
      </c>
      <c r="AC34" s="1347">
        <f t="shared" si="33"/>
        <v>0</v>
      </c>
      <c r="AD34" s="1347">
        <f t="shared" si="33"/>
        <v>0</v>
      </c>
      <c r="AE34" s="1347">
        <f t="shared" si="33"/>
        <v>0</v>
      </c>
      <c r="AF34" s="1347">
        <f t="shared" si="33"/>
        <v>0</v>
      </c>
      <c r="AG34" s="1347">
        <f t="shared" si="33"/>
        <v>0</v>
      </c>
      <c r="AH34" s="1347">
        <f>SUM(V34:AG34)</f>
        <v>77.127205279999998</v>
      </c>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423"/>
    </row>
    <row r="35" spans="3:64" s="180" customFormat="1" ht="15" customHeight="1">
      <c r="C35" s="688" t="str">
        <f>IF(Indice_index!$Z$1=1,"Investimento","Investments")</f>
        <v>Investments</v>
      </c>
      <c r="D35" s="136"/>
      <c r="E35" s="136" t="s">
        <v>35</v>
      </c>
      <c r="F35" s="97"/>
      <c r="G35" s="136">
        <f t="shared" ref="G35:T35" si="34">+SUMIF($E$56:$E$85,$E35,G$56:G$85)</f>
        <v>0</v>
      </c>
      <c r="H35" s="136">
        <f t="shared" si="34"/>
        <v>0</v>
      </c>
      <c r="I35" s="136">
        <f t="shared" si="34"/>
        <v>0</v>
      </c>
      <c r="J35" s="136">
        <f t="shared" si="34"/>
        <v>38.340000000000003</v>
      </c>
      <c r="K35" s="136">
        <f t="shared" si="34"/>
        <v>1.4299999999999997</v>
      </c>
      <c r="L35" s="136">
        <f t="shared" si="34"/>
        <v>1.4339999999999975</v>
      </c>
      <c r="M35" s="136">
        <f t="shared" si="34"/>
        <v>0</v>
      </c>
      <c r="N35" s="136">
        <f t="shared" si="34"/>
        <v>1.4699999999999989</v>
      </c>
      <c r="O35" s="136">
        <f t="shared" si="34"/>
        <v>54.330777999999995</v>
      </c>
      <c r="P35" s="136">
        <f t="shared" si="34"/>
        <v>1.5530000000000044</v>
      </c>
      <c r="Q35" s="136">
        <f t="shared" si="34"/>
        <v>1.5529999999999973</v>
      </c>
      <c r="R35" s="136">
        <f t="shared" si="34"/>
        <v>1.5530000000000044</v>
      </c>
      <c r="S35" s="136">
        <f t="shared" si="34"/>
        <v>39.770000000000003</v>
      </c>
      <c r="T35" s="136">
        <f t="shared" si="34"/>
        <v>101.66377800000001</v>
      </c>
      <c r="U35" s="97"/>
      <c r="V35" s="136">
        <f t="shared" ref="V35:AH35" si="35">+SUMIF($E$56:$E$85,$E35,V$56:V$85)</f>
        <v>1.5529999999999999</v>
      </c>
      <c r="W35" s="136">
        <f t="shared" si="35"/>
        <v>0</v>
      </c>
      <c r="X35" s="136">
        <f t="shared" si="35"/>
        <v>3.1065026400000004</v>
      </c>
      <c r="Y35" s="136">
        <f t="shared" si="35"/>
        <v>1.5532513199999993</v>
      </c>
      <c r="Z35" s="136">
        <f t="shared" si="35"/>
        <v>1.5532513200000002</v>
      </c>
      <c r="AA35" s="136">
        <f t="shared" si="35"/>
        <v>0</v>
      </c>
      <c r="AB35" s="136">
        <f t="shared" si="35"/>
        <v>0</v>
      </c>
      <c r="AC35" s="136">
        <f t="shared" si="35"/>
        <v>0</v>
      </c>
      <c r="AD35" s="136">
        <f t="shared" si="35"/>
        <v>0</v>
      </c>
      <c r="AE35" s="136">
        <f t="shared" si="35"/>
        <v>0</v>
      </c>
      <c r="AF35" s="136">
        <f t="shared" si="35"/>
        <v>0</v>
      </c>
      <c r="AG35" s="136">
        <f t="shared" si="35"/>
        <v>0</v>
      </c>
      <c r="AH35" s="136">
        <f t="shared" si="35"/>
        <v>7.7660052799999999</v>
      </c>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422"/>
    </row>
    <row r="36" spans="3:64" s="180" customFormat="1" ht="15" customHeight="1">
      <c r="C36" s="688" t="str">
        <f>IF(Indice_index!$Z$1=1,"Transferências de capital","Capital transfers")</f>
        <v>Capital transfers</v>
      </c>
      <c r="D36" s="136"/>
      <c r="E36" s="136" t="s">
        <v>36</v>
      </c>
      <c r="F36" s="97"/>
      <c r="G36" s="136">
        <f t="shared" ref="G36:T36" si="36">+G37+G38</f>
        <v>13.88124</v>
      </c>
      <c r="H36" s="136">
        <f t="shared" si="36"/>
        <v>14.138688</v>
      </c>
      <c r="I36" s="136">
        <f t="shared" si="36"/>
        <v>13.929066999999996</v>
      </c>
      <c r="J36" s="136">
        <f t="shared" si="36"/>
        <v>13.865551000000004</v>
      </c>
      <c r="K36" s="136">
        <f t="shared" si="36"/>
        <v>13.901340999999995</v>
      </c>
      <c r="L36" s="136">
        <f t="shared" si="36"/>
        <v>330.87818000000004</v>
      </c>
      <c r="M36" s="136">
        <f t="shared" si="36"/>
        <v>13.865550999999996</v>
      </c>
      <c r="N36" s="136">
        <f t="shared" si="36"/>
        <v>13.865550999999996</v>
      </c>
      <c r="O36" s="136">
        <f t="shared" si="36"/>
        <v>13.865550999999996</v>
      </c>
      <c r="P36" s="136">
        <f t="shared" si="36"/>
        <v>13.865551000000011</v>
      </c>
      <c r="Q36" s="136">
        <f t="shared" si="36"/>
        <v>35.642811999999978</v>
      </c>
      <c r="R36" s="136">
        <f t="shared" si="36"/>
        <v>238.31769623999998</v>
      </c>
      <c r="S36" s="136">
        <f t="shared" si="36"/>
        <v>69.715886999999995</v>
      </c>
      <c r="T36" s="136">
        <f t="shared" si="36"/>
        <v>730.01677924000001</v>
      </c>
      <c r="U36" s="97"/>
      <c r="V36" s="136">
        <f t="shared" ref="V36:AH36" si="37">+V37+V38</f>
        <v>13.88124</v>
      </c>
      <c r="W36" s="136">
        <f t="shared" si="37"/>
        <v>13.88124</v>
      </c>
      <c r="X36" s="136">
        <f t="shared" si="37"/>
        <v>13.881240000000002</v>
      </c>
      <c r="Y36" s="136">
        <f t="shared" si="37"/>
        <v>13.881239999999998</v>
      </c>
      <c r="Z36" s="136">
        <f t="shared" si="37"/>
        <v>13.836239999999997</v>
      </c>
      <c r="AA36" s="136">
        <f t="shared" si="37"/>
        <v>0</v>
      </c>
      <c r="AB36" s="136">
        <f t="shared" si="37"/>
        <v>0</v>
      </c>
      <c r="AC36" s="136">
        <f t="shared" si="37"/>
        <v>0</v>
      </c>
      <c r="AD36" s="136">
        <f t="shared" si="37"/>
        <v>0</v>
      </c>
      <c r="AE36" s="136">
        <f t="shared" si="37"/>
        <v>0</v>
      </c>
      <c r="AF36" s="136">
        <f t="shared" si="37"/>
        <v>0</v>
      </c>
      <c r="AG36" s="136">
        <f t="shared" si="37"/>
        <v>0</v>
      </c>
      <c r="AH36" s="136">
        <f t="shared" si="37"/>
        <v>69.361199999999997</v>
      </c>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422"/>
    </row>
    <row r="37" spans="3:64" s="180" customFormat="1" ht="15" customHeight="1">
      <c r="C37" s="1348" t="str">
        <f>IF(Indice_index!$Z$1=1,"Administrações Públicas","General Government subsectors")</f>
        <v>General Government subsectors</v>
      </c>
      <c r="D37" s="136"/>
      <c r="E37" s="136" t="s">
        <v>37</v>
      </c>
      <c r="F37" s="97"/>
      <c r="G37" s="136">
        <f t="shared" ref="G37:T39" si="38">+SUMIF($E$56:$E$85,$E37,G$56:G$85)</f>
        <v>13.88124</v>
      </c>
      <c r="H37" s="136">
        <f t="shared" si="38"/>
        <v>14.138688</v>
      </c>
      <c r="I37" s="136">
        <f t="shared" si="38"/>
        <v>13.929066999999996</v>
      </c>
      <c r="J37" s="136">
        <f t="shared" si="38"/>
        <v>13.865551000000004</v>
      </c>
      <c r="K37" s="136">
        <f t="shared" si="38"/>
        <v>13.901340999999995</v>
      </c>
      <c r="L37" s="136">
        <f t="shared" si="38"/>
        <v>13.865551000000011</v>
      </c>
      <c r="M37" s="136">
        <f t="shared" si="38"/>
        <v>13.865550999999996</v>
      </c>
      <c r="N37" s="136">
        <f t="shared" si="38"/>
        <v>13.865550999999996</v>
      </c>
      <c r="O37" s="136">
        <f t="shared" si="38"/>
        <v>13.865550999999996</v>
      </c>
      <c r="P37" s="136">
        <f t="shared" si="38"/>
        <v>13.865551000000011</v>
      </c>
      <c r="Q37" s="136">
        <f t="shared" si="38"/>
        <v>13.865550999999982</v>
      </c>
      <c r="R37" s="136">
        <f t="shared" si="38"/>
        <v>13.667325999999974</v>
      </c>
      <c r="S37" s="136">
        <f t="shared" si="38"/>
        <v>69.715886999999995</v>
      </c>
      <c r="T37" s="136">
        <f t="shared" si="38"/>
        <v>166.57651899999996</v>
      </c>
      <c r="U37" s="97"/>
      <c r="V37" s="136">
        <f t="shared" ref="V37:AH39" si="39">+SUMIF($E$56:$E$85,$E37,V$56:V$85)</f>
        <v>13.88124</v>
      </c>
      <c r="W37" s="136">
        <f t="shared" si="39"/>
        <v>13.88124</v>
      </c>
      <c r="X37" s="136">
        <f t="shared" si="39"/>
        <v>13.881240000000002</v>
      </c>
      <c r="Y37" s="136">
        <f t="shared" si="39"/>
        <v>13.881239999999998</v>
      </c>
      <c r="Z37" s="136">
        <f t="shared" si="39"/>
        <v>13.836239999999997</v>
      </c>
      <c r="AA37" s="136">
        <f t="shared" si="39"/>
        <v>0</v>
      </c>
      <c r="AB37" s="136">
        <f t="shared" si="39"/>
        <v>0</v>
      </c>
      <c r="AC37" s="136">
        <f t="shared" si="39"/>
        <v>0</v>
      </c>
      <c r="AD37" s="136">
        <f t="shared" si="39"/>
        <v>0</v>
      </c>
      <c r="AE37" s="136">
        <f t="shared" si="39"/>
        <v>0</v>
      </c>
      <c r="AF37" s="136">
        <f t="shared" si="39"/>
        <v>0</v>
      </c>
      <c r="AG37" s="136">
        <f t="shared" si="39"/>
        <v>0</v>
      </c>
      <c r="AH37" s="136">
        <f t="shared" si="39"/>
        <v>69.361199999999997</v>
      </c>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422"/>
    </row>
    <row r="38" spans="3:64" s="180" customFormat="1" ht="15" customHeight="1">
      <c r="C38" s="1348" t="str">
        <f>IF(Indice_index!$Z$1=1,"Outras","Others")</f>
        <v>Others</v>
      </c>
      <c r="D38" s="136"/>
      <c r="E38" s="136" t="s">
        <v>38</v>
      </c>
      <c r="F38" s="97"/>
      <c r="G38" s="136">
        <f t="shared" si="38"/>
        <v>0</v>
      </c>
      <c r="H38" s="136">
        <f t="shared" si="38"/>
        <v>0</v>
      </c>
      <c r="I38" s="136">
        <f t="shared" si="38"/>
        <v>0</v>
      </c>
      <c r="J38" s="136">
        <f t="shared" si="38"/>
        <v>0</v>
      </c>
      <c r="K38" s="136">
        <f t="shared" si="38"/>
        <v>0</v>
      </c>
      <c r="L38" s="136">
        <f t="shared" si="38"/>
        <v>317.012629</v>
      </c>
      <c r="M38" s="136">
        <f t="shared" si="38"/>
        <v>0</v>
      </c>
      <c r="N38" s="136">
        <f t="shared" si="38"/>
        <v>0</v>
      </c>
      <c r="O38" s="136">
        <f t="shared" si="38"/>
        <v>0</v>
      </c>
      <c r="P38" s="136">
        <f t="shared" si="38"/>
        <v>0</v>
      </c>
      <c r="Q38" s="136">
        <f t="shared" si="38"/>
        <v>21.777260999999999</v>
      </c>
      <c r="R38" s="136">
        <f t="shared" si="38"/>
        <v>224.65037024</v>
      </c>
      <c r="S38" s="136">
        <f t="shared" si="38"/>
        <v>0</v>
      </c>
      <c r="T38" s="136">
        <f t="shared" si="38"/>
        <v>563.44026024000004</v>
      </c>
      <c r="U38" s="97"/>
      <c r="V38" s="136">
        <f t="shared" si="39"/>
        <v>0</v>
      </c>
      <c r="W38" s="136">
        <f t="shared" si="39"/>
        <v>0</v>
      </c>
      <c r="X38" s="136">
        <f t="shared" si="39"/>
        <v>0</v>
      </c>
      <c r="Y38" s="136">
        <f t="shared" si="39"/>
        <v>0</v>
      </c>
      <c r="Z38" s="136">
        <f t="shared" si="39"/>
        <v>0</v>
      </c>
      <c r="AA38" s="136">
        <f t="shared" si="39"/>
        <v>0</v>
      </c>
      <c r="AB38" s="136">
        <f t="shared" si="39"/>
        <v>0</v>
      </c>
      <c r="AC38" s="136">
        <f t="shared" si="39"/>
        <v>0</v>
      </c>
      <c r="AD38" s="136">
        <f t="shared" si="39"/>
        <v>0</v>
      </c>
      <c r="AE38" s="136">
        <f t="shared" si="39"/>
        <v>0</v>
      </c>
      <c r="AF38" s="136">
        <f t="shared" si="39"/>
        <v>0</v>
      </c>
      <c r="AG38" s="136">
        <f t="shared" si="39"/>
        <v>0</v>
      </c>
      <c r="AH38" s="136">
        <f t="shared" si="39"/>
        <v>0</v>
      </c>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422"/>
    </row>
    <row r="39" spans="3:64" s="180" customFormat="1" ht="15" customHeight="1">
      <c r="C39" s="688" t="str">
        <f>IF(Indice_index!$Z$1=1,"Outras despesas de capital","Other capital expenditure")</f>
        <v>Other capital expenditure</v>
      </c>
      <c r="D39" s="136"/>
      <c r="E39" s="136" t="s">
        <v>39</v>
      </c>
      <c r="F39" s="97"/>
      <c r="G39" s="136">
        <f t="shared" si="38"/>
        <v>0</v>
      </c>
      <c r="H39" s="136">
        <f t="shared" si="38"/>
        <v>0</v>
      </c>
      <c r="I39" s="136">
        <f t="shared" si="38"/>
        <v>0</v>
      </c>
      <c r="J39" s="136">
        <f t="shared" si="38"/>
        <v>0</v>
      </c>
      <c r="K39" s="136">
        <f t="shared" si="38"/>
        <v>0</v>
      </c>
      <c r="L39" s="136">
        <f t="shared" si="38"/>
        <v>0</v>
      </c>
      <c r="M39" s="136">
        <f t="shared" si="38"/>
        <v>0</v>
      </c>
      <c r="N39" s="136">
        <f t="shared" si="38"/>
        <v>0</v>
      </c>
      <c r="O39" s="136">
        <f t="shared" si="38"/>
        <v>0</v>
      </c>
      <c r="P39" s="136">
        <f t="shared" si="38"/>
        <v>0</v>
      </c>
      <c r="Q39" s="136">
        <f t="shared" si="38"/>
        <v>0</v>
      </c>
      <c r="R39" s="136">
        <f t="shared" si="38"/>
        <v>0</v>
      </c>
      <c r="S39" s="136">
        <f t="shared" si="38"/>
        <v>0</v>
      </c>
      <c r="T39" s="136">
        <f t="shared" si="38"/>
        <v>0</v>
      </c>
      <c r="U39" s="97"/>
      <c r="V39" s="136">
        <f t="shared" si="39"/>
        <v>0</v>
      </c>
      <c r="W39" s="136">
        <f t="shared" si="39"/>
        <v>0</v>
      </c>
      <c r="X39" s="136">
        <f t="shared" si="39"/>
        <v>0</v>
      </c>
      <c r="Y39" s="136">
        <f t="shared" si="39"/>
        <v>0</v>
      </c>
      <c r="Z39" s="136">
        <f t="shared" si="39"/>
        <v>0</v>
      </c>
      <c r="AA39" s="136">
        <f t="shared" si="39"/>
        <v>0</v>
      </c>
      <c r="AB39" s="136">
        <f t="shared" si="39"/>
        <v>0</v>
      </c>
      <c r="AC39" s="136">
        <f t="shared" si="39"/>
        <v>0</v>
      </c>
      <c r="AD39" s="136">
        <f t="shared" si="39"/>
        <v>0</v>
      </c>
      <c r="AE39" s="136">
        <f t="shared" si="39"/>
        <v>0</v>
      </c>
      <c r="AF39" s="136">
        <f t="shared" si="39"/>
        <v>0</v>
      </c>
      <c r="AG39" s="136">
        <f t="shared" si="39"/>
        <v>0</v>
      </c>
      <c r="AH39" s="136">
        <f t="shared" si="39"/>
        <v>0</v>
      </c>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422"/>
    </row>
    <row r="40" spans="3:64" s="180" customFormat="1" ht="4.5" customHeight="1">
      <c r="C40" s="1349"/>
      <c r="D40" s="136"/>
      <c r="E40" s="136"/>
      <c r="F40" s="97"/>
      <c r="G40" s="136"/>
      <c r="H40" s="136"/>
      <c r="I40" s="136"/>
      <c r="J40" s="136"/>
      <c r="K40" s="136"/>
      <c r="L40" s="136"/>
      <c r="M40" s="136"/>
      <c r="N40" s="136"/>
      <c r="O40" s="136"/>
      <c r="P40" s="136"/>
      <c r="Q40" s="136"/>
      <c r="R40" s="136"/>
      <c r="S40" s="136"/>
      <c r="T40" s="136"/>
      <c r="U40" s="97"/>
      <c r="V40" s="136"/>
      <c r="W40" s="136"/>
      <c r="X40" s="136"/>
      <c r="Y40" s="136"/>
      <c r="Z40" s="136"/>
      <c r="AA40" s="136"/>
      <c r="AB40" s="136"/>
      <c r="AC40" s="136"/>
      <c r="AD40" s="136"/>
      <c r="AE40" s="136"/>
      <c r="AF40" s="136"/>
      <c r="AG40" s="136"/>
      <c r="AH40" s="1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422"/>
    </row>
    <row r="41" spans="3:64" s="320" customFormat="1" ht="15" customHeight="1">
      <c r="C41" s="1350" t="str">
        <f>IF(Indice_index!$Z$1=1,"Despesa efetiva","Effective Expenditure")</f>
        <v>Effective Expenditure</v>
      </c>
      <c r="D41" s="1351"/>
      <c r="E41" s="1352"/>
      <c r="F41" s="251"/>
      <c r="G41" s="1351">
        <f t="shared" ref="G41:T41" si="40">+G25+G34</f>
        <v>58.011006109999997</v>
      </c>
      <c r="H41" s="1352">
        <f t="shared" si="40"/>
        <v>14.138688</v>
      </c>
      <c r="I41" s="1352">
        <f t="shared" si="40"/>
        <v>101.22906699999999</v>
      </c>
      <c r="J41" s="1352">
        <f t="shared" si="40"/>
        <v>58.081165000000006</v>
      </c>
      <c r="K41" s="1352">
        <f t="shared" si="40"/>
        <v>15.331340999999995</v>
      </c>
      <c r="L41" s="1352">
        <f t="shared" si="40"/>
        <v>332.31218000000001</v>
      </c>
      <c r="M41" s="1352">
        <f t="shared" si="40"/>
        <v>-256.57174554000005</v>
      </c>
      <c r="N41" s="1352">
        <f t="shared" si="40"/>
        <v>349.97198581999999</v>
      </c>
      <c r="O41" s="1352">
        <f t="shared" si="40"/>
        <v>77.991138439999986</v>
      </c>
      <c r="P41" s="1352">
        <f t="shared" si="40"/>
        <v>21.288442590000045</v>
      </c>
      <c r="Q41" s="1352">
        <f t="shared" si="40"/>
        <v>37.183738090000006</v>
      </c>
      <c r="R41" s="1352">
        <f t="shared" si="40"/>
        <v>811.21063387999993</v>
      </c>
      <c r="S41" s="1352">
        <f t="shared" si="40"/>
        <v>246.79126710999998</v>
      </c>
      <c r="T41" s="1351">
        <f t="shared" si="40"/>
        <v>1620.1776403899999</v>
      </c>
      <c r="U41" s="251"/>
      <c r="V41" s="1351">
        <f t="shared" ref="V41:AH41" si="41">+V25+V34</f>
        <v>37.033734170000002</v>
      </c>
      <c r="W41" s="1352">
        <f t="shared" si="41"/>
        <v>19.998387999999998</v>
      </c>
      <c r="X41" s="1352">
        <f t="shared" si="41"/>
        <v>18.944890640000001</v>
      </c>
      <c r="Y41" s="1352">
        <f t="shared" si="41"/>
        <v>17.391639319999996</v>
      </c>
      <c r="Z41" s="1352">
        <f t="shared" si="41"/>
        <v>17.346639319999998</v>
      </c>
      <c r="AA41" s="1352">
        <f t="shared" si="41"/>
        <v>0</v>
      </c>
      <c r="AB41" s="1352">
        <f t="shared" si="41"/>
        <v>0</v>
      </c>
      <c r="AC41" s="1352">
        <f t="shared" si="41"/>
        <v>0</v>
      </c>
      <c r="AD41" s="1352">
        <f t="shared" si="41"/>
        <v>0</v>
      </c>
      <c r="AE41" s="1352">
        <f t="shared" si="41"/>
        <v>0</v>
      </c>
      <c r="AF41" s="1352">
        <f t="shared" si="41"/>
        <v>0</v>
      </c>
      <c r="AG41" s="1352">
        <f t="shared" si="41"/>
        <v>0</v>
      </c>
      <c r="AH41" s="1351">
        <f t="shared" si="41"/>
        <v>110.71529145</v>
      </c>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423"/>
    </row>
    <row r="42" spans="3:64" ht="5.45" customHeight="1">
      <c r="D42" s="63"/>
      <c r="E42" s="63"/>
      <c r="G42" s="63"/>
      <c r="H42" s="63"/>
      <c r="I42" s="63"/>
      <c r="J42" s="63"/>
      <c r="K42" s="63"/>
      <c r="L42" s="63"/>
      <c r="M42" s="63"/>
      <c r="N42" s="63"/>
      <c r="O42" s="63"/>
      <c r="P42" s="63"/>
      <c r="Q42" s="63"/>
      <c r="R42" s="63"/>
      <c r="S42" s="63"/>
      <c r="T42" s="63"/>
      <c r="V42" s="63"/>
      <c r="W42" s="63"/>
      <c r="X42" s="63"/>
      <c r="Y42" s="63"/>
      <c r="Z42" s="63"/>
      <c r="AA42" s="63"/>
      <c r="AB42" s="63"/>
      <c r="AC42" s="63"/>
      <c r="AD42" s="63"/>
      <c r="AE42" s="63"/>
      <c r="AF42" s="63"/>
      <c r="AG42" s="63"/>
      <c r="AH42" s="63"/>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row>
    <row r="43" spans="3:64" s="322" customFormat="1" ht="15" customHeight="1">
      <c r="C43" s="1350" t="str">
        <f>IF(Indice_index!$Z$1=1,"Impacto no Saldo global","Impact in Overall balance")</f>
        <v>Impact in Overall balance</v>
      </c>
      <c r="D43" s="1351"/>
      <c r="E43" s="1351"/>
      <c r="F43" s="251"/>
      <c r="G43" s="1351">
        <f t="shared" ref="G43:T43" si="42">+G23-G41</f>
        <v>0.71871592000000817</v>
      </c>
      <c r="H43" s="1351">
        <f t="shared" si="42"/>
        <v>62.01678896</v>
      </c>
      <c r="I43" s="1351">
        <f t="shared" si="42"/>
        <v>27.457273049999998</v>
      </c>
      <c r="J43" s="1351">
        <f t="shared" si="42"/>
        <v>11.700735579999979</v>
      </c>
      <c r="K43" s="1351">
        <f t="shared" si="42"/>
        <v>360.15229293000004</v>
      </c>
      <c r="L43" s="1351">
        <f t="shared" si="42"/>
        <v>-242.89344172</v>
      </c>
      <c r="M43" s="1351">
        <f t="shared" si="42"/>
        <v>278.89880155000003</v>
      </c>
      <c r="N43" s="1351">
        <f t="shared" si="42"/>
        <v>-333.81223711000001</v>
      </c>
      <c r="O43" s="1351">
        <f t="shared" si="42"/>
        <v>-55.55393137999998</v>
      </c>
      <c r="P43" s="1351">
        <f t="shared" si="42"/>
        <v>53.14314811999995</v>
      </c>
      <c r="Q43" s="1351">
        <f t="shared" si="42"/>
        <v>615.86513494000008</v>
      </c>
      <c r="R43" s="1351">
        <f t="shared" si="42"/>
        <v>-258.50619419999998</v>
      </c>
      <c r="S43" s="1351">
        <f t="shared" si="42"/>
        <v>462.04580644000015</v>
      </c>
      <c r="T43" s="1351">
        <f t="shared" si="42"/>
        <v>519.18708663999996</v>
      </c>
      <c r="U43" s="251"/>
      <c r="V43" s="1351">
        <f t="shared" ref="V43:AH43" si="43">+V23-V41</f>
        <v>44.322210299999995</v>
      </c>
      <c r="W43" s="1351">
        <f t="shared" si="43"/>
        <v>29.070925070000001</v>
      </c>
      <c r="X43" s="1351">
        <f t="shared" si="43"/>
        <v>63.206733099999994</v>
      </c>
      <c r="Y43" s="1351">
        <f t="shared" si="43"/>
        <v>35.02547508</v>
      </c>
      <c r="Z43" s="1351">
        <f t="shared" si="43"/>
        <v>309.10529980000001</v>
      </c>
      <c r="AA43" s="1351">
        <f t="shared" si="43"/>
        <v>0</v>
      </c>
      <c r="AB43" s="1351">
        <f t="shared" si="43"/>
        <v>0</v>
      </c>
      <c r="AC43" s="1351">
        <f t="shared" si="43"/>
        <v>0</v>
      </c>
      <c r="AD43" s="1351">
        <f t="shared" si="43"/>
        <v>0</v>
      </c>
      <c r="AE43" s="1351">
        <f t="shared" si="43"/>
        <v>0</v>
      </c>
      <c r="AF43" s="1351">
        <f t="shared" si="43"/>
        <v>0</v>
      </c>
      <c r="AG43" s="1351">
        <f t="shared" si="43"/>
        <v>0</v>
      </c>
      <c r="AH43" s="1351">
        <f t="shared" si="43"/>
        <v>480.73064335000004</v>
      </c>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423"/>
    </row>
    <row r="44" spans="3:64" ht="4.5" customHeight="1">
      <c r="C44" s="1353"/>
      <c r="D44" s="1354"/>
      <c r="E44" s="1354"/>
      <c r="G44" s="1354"/>
      <c r="H44" s="1354"/>
      <c r="I44" s="1354"/>
      <c r="J44" s="1354"/>
      <c r="K44" s="1354"/>
      <c r="L44" s="1354"/>
      <c r="M44" s="1354"/>
      <c r="N44" s="1354"/>
      <c r="O44" s="1354"/>
      <c r="P44" s="1354"/>
      <c r="Q44" s="1354"/>
      <c r="R44" s="1354"/>
      <c r="S44" s="1354"/>
      <c r="T44" s="1354"/>
      <c r="V44" s="1354"/>
      <c r="W44" s="1354"/>
      <c r="X44" s="1354"/>
      <c r="Y44" s="1354"/>
      <c r="Z44" s="1354"/>
      <c r="AA44" s="1354"/>
      <c r="AB44" s="1354"/>
      <c r="AC44" s="1354"/>
      <c r="AD44" s="1354"/>
      <c r="AE44" s="1354"/>
      <c r="AF44" s="1354"/>
      <c r="AG44" s="1354"/>
      <c r="AH44" s="1354"/>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row>
    <row r="45" spans="3:64" ht="15" customHeight="1">
      <c r="C45" s="1355" t="str">
        <f>IF(Indice_index!$Z$1=1,"   Por memória:","   Memo item:")</f>
        <v xml:space="preserve">   Memo item:</v>
      </c>
      <c r="D45" s="63"/>
      <c r="E45" s="63"/>
      <c r="G45" s="63"/>
      <c r="H45" s="63"/>
      <c r="I45" s="63"/>
      <c r="J45" s="63"/>
      <c r="K45" s="63"/>
      <c r="L45" s="63"/>
      <c r="M45" s="63"/>
      <c r="N45" s="63"/>
      <c r="O45" s="63"/>
      <c r="P45" s="63"/>
      <c r="Q45" s="63"/>
      <c r="R45" s="63"/>
      <c r="S45" s="63"/>
      <c r="T45" s="63"/>
      <c r="V45" s="63"/>
      <c r="W45" s="63"/>
      <c r="X45" s="63"/>
      <c r="Y45" s="63"/>
      <c r="Z45" s="63"/>
      <c r="AA45" s="63"/>
      <c r="AB45" s="63"/>
      <c r="AC45" s="63"/>
      <c r="AD45" s="63"/>
      <c r="AE45" s="63"/>
      <c r="AF45" s="63"/>
      <c r="AG45" s="63"/>
      <c r="AH45" s="63"/>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row>
    <row r="46" spans="3:64" s="180" customFormat="1" ht="15" customHeight="1">
      <c r="C46" s="1348" t="str">
        <f>IF(Indice_index!$Z$1=1,"Saldo corrente","Current balance")</f>
        <v>Current balance</v>
      </c>
      <c r="D46" s="136"/>
      <c r="E46" s="136"/>
      <c r="F46" s="97"/>
      <c r="G46" s="136">
        <f t="shared" ref="G46:T46" si="44">+G8-G25</f>
        <v>14.599955920000006</v>
      </c>
      <c r="H46" s="136">
        <f t="shared" si="44"/>
        <v>49.319399959999998</v>
      </c>
      <c r="I46" s="136">
        <f t="shared" si="44"/>
        <v>41.386340049999987</v>
      </c>
      <c r="J46" s="136">
        <f t="shared" si="44"/>
        <v>63.906286579999986</v>
      </c>
      <c r="K46" s="136">
        <f t="shared" si="44"/>
        <v>375.48363393000005</v>
      </c>
      <c r="L46" s="136">
        <f t="shared" si="44"/>
        <v>89.418738279999999</v>
      </c>
      <c r="M46" s="136">
        <f t="shared" si="44"/>
        <v>292.76435255000001</v>
      </c>
      <c r="N46" s="136">
        <f t="shared" si="44"/>
        <v>-318.47668611</v>
      </c>
      <c r="O46" s="136">
        <f t="shared" si="44"/>
        <v>12.642397620000008</v>
      </c>
      <c r="P46" s="136">
        <f t="shared" si="44"/>
        <v>68.561699119999957</v>
      </c>
      <c r="Q46" s="136">
        <f t="shared" si="44"/>
        <v>653.06094694000012</v>
      </c>
      <c r="R46" s="136">
        <f t="shared" si="44"/>
        <v>-18.635497960000066</v>
      </c>
      <c r="S46" s="136">
        <f t="shared" si="44"/>
        <v>544.69561644000009</v>
      </c>
      <c r="T46" s="136">
        <f t="shared" si="44"/>
        <v>1324.0315668799999</v>
      </c>
      <c r="U46" s="97"/>
      <c r="V46" s="136">
        <f t="shared" ref="V46:AH46" si="45">+V8-V25</f>
        <v>59.756450299999997</v>
      </c>
      <c r="W46" s="136">
        <f t="shared" si="45"/>
        <v>42.95216507</v>
      </c>
      <c r="X46" s="136">
        <f t="shared" si="45"/>
        <v>50.194475740000001</v>
      </c>
      <c r="Y46" s="136">
        <f t="shared" si="45"/>
        <v>50.459966399999999</v>
      </c>
      <c r="Z46" s="136">
        <f t="shared" si="45"/>
        <v>324.49479112</v>
      </c>
      <c r="AA46" s="136">
        <f t="shared" si="45"/>
        <v>0</v>
      </c>
      <c r="AB46" s="136">
        <f t="shared" si="45"/>
        <v>0</v>
      </c>
      <c r="AC46" s="136">
        <f t="shared" si="45"/>
        <v>0</v>
      </c>
      <c r="AD46" s="136">
        <f t="shared" si="45"/>
        <v>0</v>
      </c>
      <c r="AE46" s="136">
        <f t="shared" si="45"/>
        <v>0</v>
      </c>
      <c r="AF46" s="136">
        <f t="shared" si="45"/>
        <v>0</v>
      </c>
      <c r="AG46" s="136">
        <f t="shared" si="45"/>
        <v>0</v>
      </c>
      <c r="AH46" s="136">
        <f t="shared" si="45"/>
        <v>527.85784863000003</v>
      </c>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422"/>
    </row>
    <row r="47" spans="3:64" s="180" customFormat="1" ht="15" customHeight="1">
      <c r="C47" s="1348" t="str">
        <f>IF(Indice_index!$Z$1=1,"Saldo de capital","Capital balance")</f>
        <v>Capital balance</v>
      </c>
      <c r="D47" s="136"/>
      <c r="E47" s="136"/>
      <c r="F47" s="97"/>
      <c r="G47" s="136">
        <f t="shared" ref="G47:T47" si="46">+G16-G34</f>
        <v>-13.88124</v>
      </c>
      <c r="H47" s="136">
        <f t="shared" si="46"/>
        <v>12.697388999999999</v>
      </c>
      <c r="I47" s="136">
        <f t="shared" si="46"/>
        <v>-13.929066999999996</v>
      </c>
      <c r="J47" s="136">
        <f t="shared" si="46"/>
        <v>-52.205551000000007</v>
      </c>
      <c r="K47" s="136">
        <f t="shared" si="46"/>
        <v>-15.331340999999995</v>
      </c>
      <c r="L47" s="136">
        <f t="shared" si="46"/>
        <v>-332.31218000000001</v>
      </c>
      <c r="M47" s="136">
        <f t="shared" si="46"/>
        <v>-13.865550999999996</v>
      </c>
      <c r="N47" s="136">
        <f t="shared" si="46"/>
        <v>-15.335550999999995</v>
      </c>
      <c r="O47" s="136">
        <f t="shared" si="46"/>
        <v>-68.196328999999992</v>
      </c>
      <c r="P47" s="136">
        <f t="shared" si="46"/>
        <v>-15.418551000000015</v>
      </c>
      <c r="Q47" s="136">
        <f t="shared" si="46"/>
        <v>-37.195811999999975</v>
      </c>
      <c r="R47" s="136">
        <f t="shared" si="46"/>
        <v>-239.87069623999997</v>
      </c>
      <c r="S47" s="136">
        <f t="shared" si="46"/>
        <v>-82.649809999999988</v>
      </c>
      <c r="T47" s="136">
        <f t="shared" si="46"/>
        <v>-804.84448023999983</v>
      </c>
      <c r="U47" s="97"/>
      <c r="V47" s="136">
        <f t="shared" ref="V47:AH47" si="47">+V16-V34</f>
        <v>-15.434239999999999</v>
      </c>
      <c r="W47" s="136">
        <f t="shared" si="47"/>
        <v>-13.88124</v>
      </c>
      <c r="X47" s="136">
        <f t="shared" si="47"/>
        <v>13.01225736</v>
      </c>
      <c r="Y47" s="136">
        <f t="shared" si="47"/>
        <v>-15.434491319999998</v>
      </c>
      <c r="Z47" s="136">
        <f t="shared" si="47"/>
        <v>-15.389491319999998</v>
      </c>
      <c r="AA47" s="136">
        <f t="shared" si="47"/>
        <v>0</v>
      </c>
      <c r="AB47" s="136">
        <f t="shared" si="47"/>
        <v>0</v>
      </c>
      <c r="AC47" s="136">
        <f t="shared" si="47"/>
        <v>0</v>
      </c>
      <c r="AD47" s="136">
        <f t="shared" si="47"/>
        <v>0</v>
      </c>
      <c r="AE47" s="136">
        <f t="shared" si="47"/>
        <v>0</v>
      </c>
      <c r="AF47" s="136">
        <f t="shared" si="47"/>
        <v>0</v>
      </c>
      <c r="AG47" s="136">
        <f t="shared" si="47"/>
        <v>0</v>
      </c>
      <c r="AH47" s="136">
        <f t="shared" si="47"/>
        <v>-47.127205279999998</v>
      </c>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422"/>
    </row>
    <row r="48" spans="3:64" ht="15" customHeight="1">
      <c r="C48" s="1348" t="str">
        <f>IF(Indice_index!$Z$1=1,"Saldo primário","Primary balance")</f>
        <v>Primary balance</v>
      </c>
      <c r="D48" s="136"/>
      <c r="E48" s="136"/>
      <c r="G48" s="136">
        <f>+G43+G28</f>
        <v>0.71871592000000817</v>
      </c>
      <c r="H48" s="136">
        <f t="shared" ref="H48:T48" si="48">+H43+H28</f>
        <v>62.01678896</v>
      </c>
      <c r="I48" s="136">
        <f t="shared" si="48"/>
        <v>27.457273049999998</v>
      </c>
      <c r="J48" s="136">
        <f t="shared" si="48"/>
        <v>11.700735579999979</v>
      </c>
      <c r="K48" s="136">
        <f t="shared" si="48"/>
        <v>360.15229293000004</v>
      </c>
      <c r="L48" s="136">
        <f t="shared" si="48"/>
        <v>-242.89344172</v>
      </c>
      <c r="M48" s="136">
        <f t="shared" si="48"/>
        <v>-7.7538329899999781</v>
      </c>
      <c r="N48" s="136">
        <f t="shared" si="48"/>
        <v>-333.81223711000001</v>
      </c>
      <c r="O48" s="136">
        <f t="shared" si="48"/>
        <v>-55.55393137999998</v>
      </c>
      <c r="P48" s="136">
        <f t="shared" si="48"/>
        <v>53.14314811999995</v>
      </c>
      <c r="Q48" s="136">
        <f t="shared" si="48"/>
        <v>615.86513494000008</v>
      </c>
      <c r="R48" s="136">
        <f t="shared" si="48"/>
        <v>-258.50619419999998</v>
      </c>
      <c r="S48" s="136">
        <f t="shared" si="48"/>
        <v>462.04580644000015</v>
      </c>
      <c r="T48" s="136">
        <f t="shared" si="48"/>
        <v>232.53445209999995</v>
      </c>
      <c r="V48" s="136">
        <f>+V43+V28</f>
        <v>44.322210299999995</v>
      </c>
      <c r="W48" s="136">
        <f t="shared" ref="W48:AH48" si="49">+W43+W28</f>
        <v>29.070925070000001</v>
      </c>
      <c r="X48" s="136">
        <f t="shared" si="49"/>
        <v>63.206733099999994</v>
      </c>
      <c r="Y48" s="136">
        <f t="shared" si="49"/>
        <v>35.02547508</v>
      </c>
      <c r="Z48" s="136">
        <f t="shared" si="49"/>
        <v>309.10529980000001</v>
      </c>
      <c r="AA48" s="136">
        <f t="shared" si="49"/>
        <v>0</v>
      </c>
      <c r="AB48" s="136">
        <f t="shared" si="49"/>
        <v>0</v>
      </c>
      <c r="AC48" s="136">
        <f t="shared" si="49"/>
        <v>0</v>
      </c>
      <c r="AD48" s="136">
        <f t="shared" si="49"/>
        <v>0</v>
      </c>
      <c r="AE48" s="136">
        <f t="shared" si="49"/>
        <v>0</v>
      </c>
      <c r="AF48" s="136">
        <f t="shared" si="49"/>
        <v>0</v>
      </c>
      <c r="AG48" s="136">
        <f t="shared" si="49"/>
        <v>0</v>
      </c>
      <c r="AH48" s="136">
        <f t="shared" si="49"/>
        <v>480.73064335000004</v>
      </c>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row>
    <row r="49" spans="2:64" ht="15" customHeight="1">
      <c r="C49" s="1356" t="str">
        <f>IF(Indice_index!$Z$1=1,"Despesa  primária","Primary Expenditure")</f>
        <v>Primary Expenditure</v>
      </c>
      <c r="D49" s="804"/>
      <c r="E49" s="1357"/>
      <c r="G49" s="804">
        <f t="shared" ref="G49:T49" si="50">+G41-G28</f>
        <v>58.011006109999997</v>
      </c>
      <c r="H49" s="1357">
        <f t="shared" si="50"/>
        <v>14.138688</v>
      </c>
      <c r="I49" s="1357">
        <f t="shared" si="50"/>
        <v>101.22906699999999</v>
      </c>
      <c r="J49" s="1357">
        <f t="shared" si="50"/>
        <v>58.081165000000006</v>
      </c>
      <c r="K49" s="1357">
        <f t="shared" si="50"/>
        <v>15.331340999999995</v>
      </c>
      <c r="L49" s="1357">
        <f t="shared" si="50"/>
        <v>332.31218000000001</v>
      </c>
      <c r="M49" s="1357">
        <f t="shared" si="50"/>
        <v>30.080888999999956</v>
      </c>
      <c r="N49" s="1357">
        <f t="shared" si="50"/>
        <v>349.97198581999999</v>
      </c>
      <c r="O49" s="1357">
        <f t="shared" si="50"/>
        <v>77.991138439999986</v>
      </c>
      <c r="P49" s="1357">
        <f t="shared" si="50"/>
        <v>21.288442590000045</v>
      </c>
      <c r="Q49" s="1357">
        <f t="shared" si="50"/>
        <v>37.183738090000006</v>
      </c>
      <c r="R49" s="1357">
        <f t="shared" si="50"/>
        <v>811.21063387999993</v>
      </c>
      <c r="S49" s="1357">
        <f t="shared" si="50"/>
        <v>246.79126710999998</v>
      </c>
      <c r="T49" s="804">
        <f t="shared" si="50"/>
        <v>1906.8302749299999</v>
      </c>
      <c r="V49" s="804">
        <f t="shared" ref="V49:AG49" si="51">+V41-V28</f>
        <v>37.033734170000002</v>
      </c>
      <c r="W49" s="1357">
        <f t="shared" si="51"/>
        <v>19.998387999999998</v>
      </c>
      <c r="X49" s="1357">
        <f t="shared" si="51"/>
        <v>18.944890640000001</v>
      </c>
      <c r="Y49" s="1357">
        <f t="shared" si="51"/>
        <v>17.391639319999996</v>
      </c>
      <c r="Z49" s="1357">
        <f t="shared" si="51"/>
        <v>17.346639319999998</v>
      </c>
      <c r="AA49" s="1357">
        <f t="shared" si="51"/>
        <v>0</v>
      </c>
      <c r="AB49" s="1357">
        <f t="shared" si="51"/>
        <v>0</v>
      </c>
      <c r="AC49" s="1357">
        <f t="shared" si="51"/>
        <v>0</v>
      </c>
      <c r="AD49" s="1357">
        <f t="shared" si="51"/>
        <v>0</v>
      </c>
      <c r="AE49" s="1357">
        <f t="shared" si="51"/>
        <v>0</v>
      </c>
      <c r="AF49" s="1357">
        <f t="shared" si="51"/>
        <v>0</v>
      </c>
      <c r="AG49" s="1357">
        <f t="shared" si="51"/>
        <v>0</v>
      </c>
      <c r="AH49" s="804">
        <f>+AH41-AH28</f>
        <v>110.71529145</v>
      </c>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row>
    <row r="50" spans="2:64" ht="15" customHeight="1">
      <c r="G50" s="97"/>
      <c r="H50" s="97"/>
      <c r="I50" s="97"/>
      <c r="J50" s="97"/>
      <c r="K50" s="97"/>
      <c r="L50" s="97"/>
      <c r="M50" s="97"/>
      <c r="N50" s="97"/>
      <c r="O50" s="97"/>
      <c r="P50" s="97"/>
      <c r="Q50" s="97"/>
      <c r="R50" s="97"/>
      <c r="S50" s="97"/>
      <c r="T50" s="97"/>
      <c r="V50" s="97"/>
      <c r="W50" s="97"/>
      <c r="X50" s="97"/>
      <c r="Y50" s="97"/>
      <c r="Z50" s="97"/>
      <c r="AA50" s="97"/>
      <c r="AB50" s="97"/>
      <c r="AC50" s="97"/>
      <c r="AD50" s="97"/>
      <c r="AE50" s="97"/>
      <c r="AF50" s="97"/>
      <c r="AG50" s="97"/>
      <c r="AH50" s="9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row>
    <row r="51" spans="2:64" ht="6" customHeight="1">
      <c r="G51" s="97"/>
      <c r="H51" s="97"/>
      <c r="I51" s="97"/>
      <c r="J51" s="97"/>
      <c r="K51" s="97"/>
      <c r="L51" s="97"/>
      <c r="M51" s="97"/>
      <c r="N51" s="97"/>
      <c r="O51" s="97"/>
      <c r="P51" s="97"/>
      <c r="Q51" s="97"/>
      <c r="R51" s="97"/>
      <c r="S51" s="97"/>
      <c r="T51" s="97"/>
      <c r="V51" s="97"/>
      <c r="W51" s="97"/>
      <c r="X51" s="97"/>
      <c r="Y51" s="97"/>
      <c r="Z51" s="97"/>
      <c r="AA51" s="97"/>
      <c r="AB51" s="97"/>
      <c r="AC51" s="97"/>
      <c r="AD51" s="97"/>
      <c r="AE51" s="97"/>
      <c r="AF51" s="97"/>
      <c r="AG51" s="97"/>
      <c r="AH51" s="9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row>
    <row r="52" spans="2:64" s="370" customFormat="1" ht="15.6" customHeight="1">
      <c r="B52" s="369"/>
      <c r="C52" s="1358" t="str">
        <f>IF(Indice_index!$Z$1=1,"Efeitos temporários/especiais na conta da Administração Central e Segurança Social","Temporary/special effects on the Central Government and Social Security Account")</f>
        <v>Temporary/special effects on the Central Government and Social Security Account</v>
      </c>
      <c r="D52" s="1359"/>
      <c r="E52" s="1360"/>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c r="BK52" s="371"/>
      <c r="BL52" s="423"/>
    </row>
    <row r="53" spans="2:64" s="181" customFormat="1" ht="22.5" customHeight="1">
      <c r="B53" s="178"/>
      <c r="C53" s="1343"/>
      <c r="D53" s="1344"/>
      <c r="E53" s="1361"/>
      <c r="F53" s="97"/>
      <c r="G53" s="1765" t="str">
        <f>IF(Indice_index!$Z$1=1,"2021 - mensal e acumulado","2021 - monthly and cumulative")</f>
        <v>2021 - monthly and cumulative</v>
      </c>
      <c r="H53" s="1765" t="s">
        <v>16</v>
      </c>
      <c r="I53" s="1765" t="s">
        <v>16</v>
      </c>
      <c r="J53" s="1765" t="s">
        <v>16</v>
      </c>
      <c r="K53" s="1765" t="s">
        <v>16</v>
      </c>
      <c r="L53" s="1765" t="s">
        <v>16</v>
      </c>
      <c r="M53" s="1765" t="s">
        <v>16</v>
      </c>
      <c r="N53" s="1765" t="s">
        <v>16</v>
      </c>
      <c r="O53" s="1765" t="s">
        <v>16</v>
      </c>
      <c r="P53" s="1765" t="s">
        <v>16</v>
      </c>
      <c r="Q53" s="1765" t="s">
        <v>16</v>
      </c>
      <c r="R53" s="1765" t="s">
        <v>16</v>
      </c>
      <c r="S53" s="1765"/>
      <c r="T53" s="1765" t="s">
        <v>16</v>
      </c>
      <c r="U53" s="97"/>
      <c r="V53" s="1765" t="str">
        <f>IF(Indice_index!$Z$1=1,"2022 - mensal e acumulado","2022 - monthly and cumulative")</f>
        <v>2022 - monthly and cumulative</v>
      </c>
      <c r="W53" s="1765" t="s">
        <v>16</v>
      </c>
      <c r="X53" s="1765" t="s">
        <v>16</v>
      </c>
      <c r="Y53" s="1765" t="s">
        <v>16</v>
      </c>
      <c r="Z53" s="1765" t="s">
        <v>16</v>
      </c>
      <c r="AA53" s="1765" t="s">
        <v>16</v>
      </c>
      <c r="AB53" s="1765" t="s">
        <v>16</v>
      </c>
      <c r="AC53" s="1765" t="s">
        <v>16</v>
      </c>
      <c r="AD53" s="1765" t="s">
        <v>16</v>
      </c>
      <c r="AE53" s="1765" t="s">
        <v>16</v>
      </c>
      <c r="AF53" s="1765" t="s">
        <v>16</v>
      </c>
      <c r="AG53" s="1765" t="s">
        <v>16</v>
      </c>
      <c r="AH53" s="1765" t="s">
        <v>16</v>
      </c>
      <c r="AJ53" s="238"/>
      <c r="AK53" s="238"/>
      <c r="AL53" s="238"/>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4"/>
      <c r="BK53" s="234"/>
      <c r="BL53" s="422"/>
    </row>
    <row r="54" spans="2:64" s="181" customFormat="1" ht="22.5" customHeight="1">
      <c r="B54" s="178"/>
      <c r="C54" s="1362"/>
      <c r="D54" s="1344"/>
      <c r="E54" s="1344"/>
      <c r="F54" s="97"/>
      <c r="G54" s="1344" t="str">
        <f>IF(Indice_index!$Z$1=1,"jan","Jan")</f>
        <v>Jan</v>
      </c>
      <c r="H54" s="1344" t="str">
        <f>IF(Indice_index!$Z$1=1,"fev","Feb")</f>
        <v>Feb</v>
      </c>
      <c r="I54" s="1344" t="str">
        <f>IF(Indice_index!$Z$1=1,"mar","Mar")</f>
        <v>Mar</v>
      </c>
      <c r="J54" s="1344" t="str">
        <f>IF(Indice_index!$Z$1=1,"abr","Apr")</f>
        <v>Apr</v>
      </c>
      <c r="K54" s="1344" t="str">
        <f>IF(Indice_index!$Z$1=1,"mai","May")</f>
        <v>May</v>
      </c>
      <c r="L54" s="1344" t="str">
        <f>IF(Indice_index!$Z$1=1,"jun","Jun")</f>
        <v>Jun</v>
      </c>
      <c r="M54" s="1344" t="str">
        <f>IF(Indice_index!$Z$1=1,"jul","Jul")</f>
        <v>Jul</v>
      </c>
      <c r="N54" s="1344" t="str">
        <f>IF(Indice_index!$Z$1=1,"ago","Aug")</f>
        <v>Aug</v>
      </c>
      <c r="O54" s="1344" t="str">
        <f>IF(Indice_index!$Z$1=1,"set","Sep")</f>
        <v>Sep</v>
      </c>
      <c r="P54" s="1344" t="str">
        <f>IF(Indice_index!$Z$1=1,"out","Oct")</f>
        <v>Oct</v>
      </c>
      <c r="Q54" s="1344" t="str">
        <f>IF(Indice_index!$Z$1=1,"nov","Nov")</f>
        <v>Nov</v>
      </c>
      <c r="R54" s="1344" t="str">
        <f>IF(Indice_index!$Z$1=1,"dez","Dec")</f>
        <v>Dec</v>
      </c>
      <c r="S54" s="1344" t="str">
        <f>IF(Indice_index!$Z$1=1,"Ano até à data","Year to date")</f>
        <v>Year to date</v>
      </c>
      <c r="T54" s="1344" t="str">
        <f>IF(Indice_index!$Z$1=1,"Acumulado","Cumulative")</f>
        <v>Cumulative</v>
      </c>
      <c r="U54" s="97"/>
      <c r="V54" s="1344" t="str">
        <f>IF(Indice_index!$Z$1=1,"jan","Jan")</f>
        <v>Jan</v>
      </c>
      <c r="W54" s="1344" t="str">
        <f>IF(Indice_index!$Z$1=1,"fev","Feb")</f>
        <v>Feb</v>
      </c>
      <c r="X54" s="1344" t="str">
        <f>IF(Indice_index!$Z$1=1,"mar","Mar")</f>
        <v>Mar</v>
      </c>
      <c r="Y54" s="1344" t="str">
        <f>IF(Indice_index!$Z$1=1,"abr","Apr")</f>
        <v>Apr</v>
      </c>
      <c r="Z54" s="1344" t="str">
        <f>IF(Indice_index!$Z$1=1,"mai","May")</f>
        <v>May</v>
      </c>
      <c r="AA54" s="1344" t="str">
        <f>IF(Indice_index!$Z$1=1,"jun","Jun")</f>
        <v>Jun</v>
      </c>
      <c r="AB54" s="1344" t="str">
        <f>IF(Indice_index!$Z$1=1,"jul","Jul")</f>
        <v>Jul</v>
      </c>
      <c r="AC54" s="1344" t="str">
        <f>IF(Indice_index!$Z$1=1,"ago","Aug")</f>
        <v>Aug</v>
      </c>
      <c r="AD54" s="1344" t="str">
        <f>IF(Indice_index!$Z$1=1,"set","Sep")</f>
        <v>Sep</v>
      </c>
      <c r="AE54" s="1344" t="str">
        <f>IF(Indice_index!$Z$1=1,"out","Oct")</f>
        <v>Oct</v>
      </c>
      <c r="AF54" s="1344" t="str">
        <f>IF(Indice_index!$Z$1=1,"nov","Nov")</f>
        <v>Nov</v>
      </c>
      <c r="AG54" s="1344" t="str">
        <f>IF(Indice_index!$Z$1=1,"dez","Dec")</f>
        <v>Dec</v>
      </c>
      <c r="AH54" s="1344" t="str">
        <f>IF(Indice_index!$Z$1=1,"Acumulado","Cumulative")</f>
        <v>Cumulative</v>
      </c>
      <c r="AI54" s="97"/>
      <c r="AJ54" s="238"/>
      <c r="AK54" s="238"/>
      <c r="AL54" s="238"/>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4"/>
      <c r="BK54" s="234"/>
      <c r="BL54" s="422"/>
    </row>
    <row r="55" spans="2:64" s="326" customFormat="1" ht="15" customHeight="1">
      <c r="B55" s="323"/>
      <c r="C55" s="1363" t="str">
        <f>IF(Indice_index!$Z$1=1,"Subtotal da Administração Central","Central Government subtotal")</f>
        <v>Central Government subtotal</v>
      </c>
      <c r="D55" s="1364"/>
      <c r="E55" s="1365"/>
      <c r="F55" s="251"/>
      <c r="G55" s="1365">
        <f t="shared" ref="G55:T55" si="52">SUMIF($D56:$D85,"Receita",G56:G85)-SUMIF($D56:$D85,"Despesa",G56:G85)+SUMIF($D56:$D85,"Revenue",G56:G85)-SUMIF($D56:$D85,"Expenditure",G56:G85)</f>
        <v>0.71871592000000817</v>
      </c>
      <c r="H55" s="1365">
        <f t="shared" si="52"/>
        <v>62.01678896</v>
      </c>
      <c r="I55" s="1365">
        <f t="shared" si="52"/>
        <v>27.457273049999998</v>
      </c>
      <c r="J55" s="1365">
        <f t="shared" si="52"/>
        <v>11.700735579999979</v>
      </c>
      <c r="K55" s="1365">
        <f t="shared" si="52"/>
        <v>360.15229292999999</v>
      </c>
      <c r="L55" s="1365">
        <f t="shared" si="52"/>
        <v>-242.89344172</v>
      </c>
      <c r="M55" s="1365">
        <f t="shared" si="52"/>
        <v>278.89880155000003</v>
      </c>
      <c r="N55" s="1365">
        <f t="shared" si="52"/>
        <v>-333.81223710999996</v>
      </c>
      <c r="O55" s="1365">
        <f t="shared" si="52"/>
        <v>-55.55393137999998</v>
      </c>
      <c r="P55" s="1365">
        <f t="shared" si="52"/>
        <v>53.14314811999995</v>
      </c>
      <c r="Q55" s="1365">
        <f t="shared" si="52"/>
        <v>615.86513494000008</v>
      </c>
      <c r="R55" s="1365">
        <f t="shared" si="52"/>
        <v>-258.50619419999998</v>
      </c>
      <c r="S55" s="1365">
        <f>SUMIF($D56:$D85,"Receita",S56:S85)-SUMIF($D56:$D85,"Despesa",S56:S85)+SUMIF($D56:$D85,"Revenue",S56:S85)-SUMIF($D56:$D85,"Expenditure",S56:S85)</f>
        <v>462.04580644000004</v>
      </c>
      <c r="T55" s="1365">
        <f t="shared" si="52"/>
        <v>519.18708664000042</v>
      </c>
      <c r="U55" s="251"/>
      <c r="V55" s="1365">
        <f t="shared" ref="V55:AG55" si="53">SUMIF($D56:$D85,"Receita",V56:V85)-SUMIF($D56:$D85,"Despesa",V56:V85)+SUMIF($D56:$D85,"Revenue",V56:V85)-SUMIF($D56:$D85,"Expenditure",V56:V85)</f>
        <v>44.322210299999995</v>
      </c>
      <c r="W55" s="1365">
        <f t="shared" si="53"/>
        <v>29.070925070000008</v>
      </c>
      <c r="X55" s="1365">
        <f t="shared" si="53"/>
        <v>63.206733099999987</v>
      </c>
      <c r="Y55" s="1365">
        <f t="shared" si="53"/>
        <v>35.025475080000007</v>
      </c>
      <c r="Z55" s="1365">
        <f>SUMIF($D56:$D85,"Receita",Z56:Z85)-SUMIF($D56:$D85,"Despesa",Z56:Z85)+SUMIF($D56:$D85,"Revenue",Z56:Z85)-SUMIF($D56:$D85,"Expenditure",Z56:Z85)</f>
        <v>309.10529980000001</v>
      </c>
      <c r="AA55" s="1365">
        <f t="shared" si="53"/>
        <v>0</v>
      </c>
      <c r="AB55" s="1365">
        <f t="shared" si="53"/>
        <v>0</v>
      </c>
      <c r="AC55" s="1365">
        <f t="shared" si="53"/>
        <v>0</v>
      </c>
      <c r="AD55" s="1365">
        <f t="shared" si="53"/>
        <v>0</v>
      </c>
      <c r="AE55" s="1365">
        <f t="shared" si="53"/>
        <v>0</v>
      </c>
      <c r="AF55" s="1365">
        <f t="shared" si="53"/>
        <v>0</v>
      </c>
      <c r="AG55" s="1365">
        <f t="shared" si="53"/>
        <v>0</v>
      </c>
      <c r="AH55" s="1365">
        <f>SUMIF($D56:$D85,"Receita",AH56:AH85)-SUMIF($D56:$D85,"Despesa",AH56:AH85)+SUMIF($D56:$D85,"Revenue",AH56:AH85)-SUMIF($D56:$D85,"Expenditure",AH56:AH85)</f>
        <v>480.73064334999992</v>
      </c>
      <c r="AI55" s="251"/>
      <c r="AJ55" s="324"/>
      <c r="AK55" s="324"/>
      <c r="AL55" s="324"/>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423"/>
    </row>
    <row r="56" spans="2:64" s="181" customFormat="1" ht="18" customHeight="1">
      <c r="B56" s="178"/>
      <c r="C56" s="1049" t="str">
        <f>IF(Indice_index!$Z$1=1,"Consignação do IRC ao Fundo de Estabilização Financeira da Segurança Social (FEFSS)","Tax revenue (Corporate Income Tax) assigned to the Fund for the Financial Stability of the Social Security System (FEFSS)")</f>
        <v>Tax revenue (Corporate Income Tax) assigned to the Fund for the Financial Stability of the Social Security System (FEFSS)</v>
      </c>
      <c r="D56" s="1050" t="str">
        <f>IF(Indice_index!$Z$1=1,"Receita","Revenue")</f>
        <v>Revenue</v>
      </c>
      <c r="E56" s="180" t="s">
        <v>17</v>
      </c>
      <c r="F56" s="97"/>
      <c r="G56" s="136"/>
      <c r="H56" s="136"/>
      <c r="I56" s="180"/>
      <c r="J56" s="180"/>
      <c r="K56" s="180"/>
      <c r="L56" s="180"/>
      <c r="M56" s="180"/>
      <c r="N56" s="180"/>
      <c r="O56" s="180"/>
      <c r="P56" s="180"/>
      <c r="Q56" s="180"/>
      <c r="R56" s="180">
        <v>337.30786981</v>
      </c>
      <c r="S56" s="180">
        <f>SUM(G56:K56)</f>
        <v>0</v>
      </c>
      <c r="T56" s="180">
        <f>SUM(G56:R56)</f>
        <v>337.30786981</v>
      </c>
      <c r="U56" s="97"/>
      <c r="V56" s="136"/>
      <c r="W56" s="136"/>
      <c r="X56" s="180"/>
      <c r="Y56" s="180"/>
      <c r="Z56" s="180"/>
      <c r="AA56" s="180"/>
      <c r="AB56" s="180"/>
      <c r="AC56" s="180"/>
      <c r="AD56" s="180"/>
      <c r="AE56" s="180"/>
      <c r="AF56" s="180"/>
      <c r="AG56" s="180"/>
      <c r="AH56" s="180">
        <f>SUM(V56:AG56)</f>
        <v>0</v>
      </c>
      <c r="AI56" s="97"/>
      <c r="AJ56" s="238"/>
      <c r="AK56" s="238"/>
      <c r="AL56" s="238"/>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4"/>
      <c r="BK56" s="234"/>
      <c r="BL56" s="422"/>
    </row>
    <row r="57" spans="2:64" s="183" customFormat="1" ht="22.5" customHeight="1">
      <c r="B57" s="182"/>
      <c r="C57" s="1049"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Extraordinary contribution over the energy sector - Assigned to the Fund for the Systemic Sustainability of the Energetic Sector</v>
      </c>
      <c r="D57" s="1050" t="str">
        <f>IF(Indice_index!$Z$1=1,"Receita","Revenue")</f>
        <v>Revenue</v>
      </c>
      <c r="E57" s="180" t="s">
        <v>17</v>
      </c>
      <c r="F57" s="97"/>
      <c r="G57" s="136">
        <v>3.7343899899999999</v>
      </c>
      <c r="H57" s="136">
        <v>-0.11633714000000001</v>
      </c>
      <c r="I57" s="180">
        <v>-0.24181496999999999</v>
      </c>
      <c r="J57" s="180">
        <v>-6.5510680000000002E-2</v>
      </c>
      <c r="K57" s="180">
        <v>3.1850899999999998E-3</v>
      </c>
      <c r="L57" s="180">
        <v>-0.2503862</v>
      </c>
      <c r="M57" s="180">
        <v>0.28461910000000001</v>
      </c>
      <c r="N57" s="180">
        <v>5.8610000000000003E-5</v>
      </c>
      <c r="O57" s="180">
        <v>6.5700255299999997</v>
      </c>
      <c r="P57" s="180">
        <v>50.91310713</v>
      </c>
      <c r="Q57" s="180">
        <v>50.634189110000001</v>
      </c>
      <c r="R57" s="180">
        <v>19.03511207</v>
      </c>
      <c r="S57" s="180">
        <f t="shared" ref="S57:S85" si="54">SUM(G57:K57)</f>
        <v>3.3139122899999998</v>
      </c>
      <c r="T57" s="180">
        <f t="shared" ref="T57" si="55">SUM(G57:R57)</f>
        <v>130.50063764000001</v>
      </c>
      <c r="U57" s="97"/>
      <c r="V57" s="136">
        <v>1.60246394</v>
      </c>
      <c r="W57" s="136">
        <v>-3.21659746</v>
      </c>
      <c r="X57" s="180">
        <v>-0.23536579999999999</v>
      </c>
      <c r="Y57" s="180">
        <v>-3.9654219999999997E-2</v>
      </c>
      <c r="Z57" s="180">
        <v>1.1234E-4</v>
      </c>
      <c r="AA57" s="180"/>
      <c r="AB57" s="180"/>
      <c r="AC57" s="180"/>
      <c r="AD57" s="180"/>
      <c r="AE57" s="180"/>
      <c r="AF57" s="180"/>
      <c r="AG57" s="180"/>
      <c r="AH57" s="180">
        <f>SUM(V57:AG57)</f>
        <v>-1.8890412000000001</v>
      </c>
      <c r="AI57" s="97"/>
      <c r="AJ57" s="238"/>
      <c r="AK57" s="238"/>
      <c r="AL57" s="238"/>
      <c r="AM57" s="239"/>
      <c r="AN57" s="239"/>
      <c r="AO57" s="239"/>
      <c r="AP57" s="239"/>
      <c r="AQ57" s="239"/>
      <c r="AR57" s="239"/>
      <c r="AS57" s="239"/>
      <c r="AT57" s="239"/>
      <c r="AU57" s="239"/>
      <c r="AV57" s="239"/>
      <c r="AW57" s="239"/>
      <c r="AX57" s="239"/>
      <c r="AY57" s="239"/>
      <c r="AZ57" s="239"/>
      <c r="BA57" s="239"/>
      <c r="BB57" s="239"/>
      <c r="BC57" s="239"/>
      <c r="BD57" s="239"/>
      <c r="BE57" s="239"/>
      <c r="BF57" s="239"/>
      <c r="BG57" s="239"/>
      <c r="BH57" s="239"/>
      <c r="BI57" s="239"/>
      <c r="BJ57" s="240"/>
      <c r="BK57" s="240"/>
      <c r="BL57" s="422"/>
    </row>
    <row r="58" spans="2:64" s="181" customFormat="1" ht="22.5" customHeight="1">
      <c r="B58" s="178"/>
      <c r="C58" s="1049"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Tax revenue (Tax on oil and energy products (ISP) - Additional CO2 emissions) assigned to the Environmental Fund aimed at financing the ‘Public Transport Tariff Reduction Support Program’</v>
      </c>
      <c r="D58" s="1050" t="str">
        <f>IF(Indice_index!$Z$1=1,"Receita","Revenue")</f>
        <v>Revenue</v>
      </c>
      <c r="E58" s="180" t="s">
        <v>18</v>
      </c>
      <c r="F58" s="97"/>
      <c r="G58" s="136">
        <v>33.91973033</v>
      </c>
      <c r="H58" s="136">
        <v>32.477500560000003</v>
      </c>
      <c r="I58" s="180">
        <v>27.468880689999999</v>
      </c>
      <c r="J58" s="180">
        <v>35.460518749999999</v>
      </c>
      <c r="K58" s="180">
        <v>9.2733696699999992</v>
      </c>
      <c r="L58" s="180"/>
      <c r="M58" s="180"/>
      <c r="N58" s="180"/>
      <c r="O58" s="180"/>
      <c r="P58" s="180"/>
      <c r="Q58" s="180"/>
      <c r="R58" s="180"/>
      <c r="S58" s="180">
        <f t="shared" si="54"/>
        <v>138.6</v>
      </c>
      <c r="T58" s="180">
        <f t="shared" ref="T58" si="56">SUM(G58:R58)</f>
        <v>138.6</v>
      </c>
      <c r="U58" s="97"/>
      <c r="V58" s="136">
        <v>42.830693089999997</v>
      </c>
      <c r="W58" s="136">
        <v>34.864685250000001</v>
      </c>
      <c r="X58" s="180">
        <v>37.94755215</v>
      </c>
      <c r="Y58" s="180">
        <v>22.95706951</v>
      </c>
      <c r="Z58" s="180"/>
      <c r="AA58" s="180"/>
      <c r="AB58" s="180"/>
      <c r="AC58" s="180"/>
      <c r="AD58" s="180"/>
      <c r="AE58" s="180"/>
      <c r="AF58" s="180"/>
      <c r="AG58" s="180"/>
      <c r="AH58" s="180">
        <f>SUM(V58:AG58)</f>
        <v>138.6</v>
      </c>
      <c r="AI58" s="97"/>
      <c r="AJ58" s="238"/>
      <c r="AK58" s="238"/>
      <c r="AL58" s="238"/>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4"/>
      <c r="BK58" s="234"/>
      <c r="BL58" s="422"/>
    </row>
    <row r="59" spans="2:64" s="183" customFormat="1" ht="14.25" customHeight="1">
      <c r="B59" s="182"/>
      <c r="C59" s="1049" t="str">
        <f>IF(Indice_index!$Z$1=1,"Contribuição extraordinária sobre a indústria farmacêutica - consignada ao Serviço Nacional de Saúde","Extraordinary contribution over the pharmaceutical industry - assigned to the National Health Service")</f>
        <v>Extraordinary contribution over the pharmaceutical industry - assigned to the National Health Service</v>
      </c>
      <c r="D59" s="1050" t="str">
        <f>IF(Indice_index!$Z$1=1,"Receita","Revenue")</f>
        <v>Revenue</v>
      </c>
      <c r="E59" s="180" t="s">
        <v>18</v>
      </c>
      <c r="F59" s="97"/>
      <c r="G59" s="136">
        <v>4.1780021200000004</v>
      </c>
      <c r="H59" s="136">
        <v>3.36805E-3</v>
      </c>
      <c r="I59" s="180"/>
      <c r="J59" s="180">
        <v>3.6313644699999998</v>
      </c>
      <c r="K59" s="180">
        <v>0.28664426999999998</v>
      </c>
      <c r="L59" s="180"/>
      <c r="M59" s="180">
        <v>3.5552682</v>
      </c>
      <c r="N59" s="180">
        <v>9.2350890000000005E-2</v>
      </c>
      <c r="O59" s="180"/>
      <c r="P59" s="180">
        <v>3.7916012600000002</v>
      </c>
      <c r="Q59" s="180">
        <v>0.23739737</v>
      </c>
      <c r="R59" s="180">
        <v>0.91036715999999995</v>
      </c>
      <c r="S59" s="180">
        <f t="shared" si="54"/>
        <v>8.0993789100000004</v>
      </c>
      <c r="T59" s="180">
        <f>SUM(G59:R59)</f>
        <v>16.686363790000001</v>
      </c>
      <c r="U59" s="97"/>
      <c r="V59" s="136">
        <v>4.37321442</v>
      </c>
      <c r="W59" s="136">
        <v>0.2212944</v>
      </c>
      <c r="X59" s="180">
        <v>-0.19143478</v>
      </c>
      <c r="Y59" s="180">
        <v>3.8198989999999999</v>
      </c>
      <c r="Z59" s="180">
        <v>0.14034541</v>
      </c>
      <c r="AA59" s="180"/>
      <c r="AB59" s="180"/>
      <c r="AC59" s="180"/>
      <c r="AD59" s="180"/>
      <c r="AE59" s="180"/>
      <c r="AF59" s="180"/>
      <c r="AG59" s="180"/>
      <c r="AH59" s="180">
        <f>SUM(V59:AG59)</f>
        <v>8.3633184499999995</v>
      </c>
      <c r="AI59" s="97"/>
      <c r="AJ59" s="238"/>
      <c r="AK59" s="238"/>
      <c r="AL59" s="238"/>
      <c r="AM59" s="239"/>
      <c r="AN59" s="239"/>
      <c r="AO59" s="239"/>
      <c r="AP59" s="239"/>
      <c r="AQ59" s="239"/>
      <c r="AR59" s="239"/>
      <c r="AS59" s="239"/>
      <c r="AT59" s="239"/>
      <c r="AU59" s="239"/>
      <c r="AV59" s="239"/>
      <c r="AW59" s="239"/>
      <c r="AX59" s="239"/>
      <c r="AY59" s="239"/>
      <c r="AZ59" s="239"/>
      <c r="BA59" s="239"/>
      <c r="BB59" s="239"/>
      <c r="BC59" s="239"/>
      <c r="BD59" s="239"/>
      <c r="BE59" s="239"/>
      <c r="BF59" s="239"/>
      <c r="BG59" s="239"/>
      <c r="BH59" s="239"/>
      <c r="BI59" s="239"/>
      <c r="BJ59" s="240"/>
      <c r="BK59" s="240"/>
      <c r="BL59" s="422"/>
    </row>
    <row r="60" spans="2:64" s="183" customFormat="1" ht="14.25" customHeight="1">
      <c r="B60" s="182"/>
      <c r="C60" s="1049" t="str">
        <f>IF(Indice_index!$Z$1=1,"Contribuição extraordinária sobre os fornecedores da indústria de dispositivos médicos do SNS","Extraordinary contribution over the on suppliers of the industry - assigned to the National Health Service")</f>
        <v>Extraordinary contribution over the on suppliers of the industry - assigned to the National Health Service</v>
      </c>
      <c r="D60" s="1050" t="str">
        <f>IF(Indice_index!$Z$1=1,"Receita","Revenue")</f>
        <v>Revenue</v>
      </c>
      <c r="E60" s="180" t="s">
        <v>18</v>
      </c>
      <c r="F60" s="97"/>
      <c r="G60" s="136"/>
      <c r="H60" s="136"/>
      <c r="I60" s="180"/>
      <c r="J60" s="180">
        <v>13.063439109999999</v>
      </c>
      <c r="K60" s="180">
        <v>5.617283E-2</v>
      </c>
      <c r="L60" s="180"/>
      <c r="M60" s="180">
        <v>3.3818280600000001</v>
      </c>
      <c r="N60" s="180">
        <v>1.6816729999999998E-2</v>
      </c>
      <c r="O60" s="180"/>
      <c r="P60" s="180">
        <v>3.4518416799999998</v>
      </c>
      <c r="Q60" s="180">
        <v>8.4389339999999993E-2</v>
      </c>
      <c r="R60" s="180">
        <v>0.16572945</v>
      </c>
      <c r="S60" s="180">
        <f t="shared" si="54"/>
        <v>13.119611939999999</v>
      </c>
      <c r="T60" s="180">
        <f>SUM(G60:R60)</f>
        <v>20.2202172</v>
      </c>
      <c r="U60" s="97"/>
      <c r="V60" s="136">
        <v>3.9671968299999998</v>
      </c>
      <c r="W60" s="136">
        <v>0.1443555</v>
      </c>
      <c r="X60" s="180">
        <v>8.7141670000000004E-2</v>
      </c>
      <c r="Y60" s="180">
        <v>5.3334514999999998</v>
      </c>
      <c r="Z60" s="180">
        <v>0.65120067000000004</v>
      </c>
      <c r="AA60" s="180"/>
      <c r="AB60" s="180"/>
      <c r="AC60" s="180"/>
      <c r="AD60" s="180"/>
      <c r="AE60" s="180"/>
      <c r="AF60" s="180"/>
      <c r="AG60" s="180"/>
      <c r="AH60" s="180">
        <f>SUM(V60:AG60)</f>
        <v>10.183346169999998</v>
      </c>
      <c r="AI60" s="97"/>
      <c r="AJ60" s="238"/>
      <c r="AK60" s="238"/>
      <c r="AL60" s="238"/>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40"/>
      <c r="BK60" s="240"/>
      <c r="BL60" s="422"/>
    </row>
    <row r="61" spans="2:64" s="183" customFormat="1" ht="14.25" customHeight="1">
      <c r="B61" s="182"/>
      <c r="C61" s="1049" t="str">
        <f>IF(Indice_index!$Z$1=1,"Contribuição sobre o audiovisual - consignada à RTP - Radio e Televisão Portuguesa, SGPS - Impostos indiretos","Contribution over the audiovisual industry - assigned to the RTP - Indirect taxes")</f>
        <v>Contribution over the audiovisual industry - assigned to the RTP - Indirect taxes</v>
      </c>
      <c r="D61" s="1050" t="str">
        <f>IF(Indice_index!$Z$1=1,"Receita","Revenue")</f>
        <v>Revenue</v>
      </c>
      <c r="E61" s="180" t="s">
        <v>18</v>
      </c>
      <c r="F61" s="97"/>
      <c r="G61" s="136">
        <v>16.185025110000002</v>
      </c>
      <c r="H61" s="136">
        <v>16.094952129999999</v>
      </c>
      <c r="I61" s="180">
        <v>13.59889164</v>
      </c>
      <c r="J61" s="180">
        <v>16.94125653</v>
      </c>
      <c r="K61" s="180">
        <v>14.557428420000001</v>
      </c>
      <c r="L61" s="180">
        <v>14.987979920000001</v>
      </c>
      <c r="M61" s="180">
        <v>14.484511729999999</v>
      </c>
      <c r="N61" s="180">
        <v>15.38632119</v>
      </c>
      <c r="O61" s="180">
        <v>15.215828910000001</v>
      </c>
      <c r="P61" s="180">
        <v>15.593252680000001</v>
      </c>
      <c r="Q61" s="180">
        <v>15.05298294</v>
      </c>
      <c r="R61" s="180">
        <v>15.56838991</v>
      </c>
      <c r="S61" s="180">
        <f t="shared" si="54"/>
        <v>77.377553830000011</v>
      </c>
      <c r="T61" s="180">
        <f t="shared" ref="T61:T65" si="57">SUM(G61:R61)</f>
        <v>183.66682111000003</v>
      </c>
      <c r="U61" s="97"/>
      <c r="V61" s="136">
        <v>16.58040991</v>
      </c>
      <c r="W61" s="136">
        <v>16.345015750000002</v>
      </c>
      <c r="X61" s="180">
        <v>13.93733387</v>
      </c>
      <c r="Y61" s="180">
        <v>16.577265199999999</v>
      </c>
      <c r="Z61" s="180">
        <v>13.92331182</v>
      </c>
      <c r="AA61" s="180"/>
      <c r="AB61" s="180"/>
      <c r="AC61" s="180"/>
      <c r="AD61" s="180"/>
      <c r="AE61" s="180"/>
      <c r="AF61" s="180"/>
      <c r="AG61" s="180"/>
      <c r="AH61" s="180">
        <f t="shared" ref="AH61" si="58">SUM(V61:AG61)</f>
        <v>77.36333655</v>
      </c>
      <c r="AI61" s="97"/>
      <c r="AJ61" s="238"/>
      <c r="AK61" s="238"/>
      <c r="AL61" s="238"/>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40"/>
      <c r="BK61" s="240"/>
      <c r="BL61" s="422"/>
    </row>
    <row r="62" spans="2:64" s="183" customFormat="1" ht="14.25" customHeight="1">
      <c r="B62" s="182"/>
      <c r="C62" s="1049" t="str">
        <f>IF(Indice_index!$Z$1=1,"Contribuição sobre o audiovisual - consignada à RTP - Radio e Televisão Portuguesa, SGPS - Taxas","Contribution over the audiovisual industry - assigned to the RTP - Fines and fees")</f>
        <v>Contribution over the audiovisual industry - assigned to the RTP - Fines and fees</v>
      </c>
      <c r="D62" s="1050" t="str">
        <f>IF(Indice_index!$Z$1=1,"Receita","Revenue")</f>
        <v>Revenue</v>
      </c>
      <c r="E62" s="180" t="s">
        <v>59</v>
      </c>
      <c r="F62" s="97"/>
      <c r="G62" s="136">
        <v>0.71257448000000001</v>
      </c>
      <c r="H62" s="136">
        <v>0.85991636000000005</v>
      </c>
      <c r="I62" s="180">
        <v>0.56038268999999996</v>
      </c>
      <c r="J62" s="180">
        <v>0.75083239999999973</v>
      </c>
      <c r="K62" s="180">
        <v>0.63383599000000002</v>
      </c>
      <c r="L62" s="180">
        <v>0.63143024000000003</v>
      </c>
      <c r="M62" s="180">
        <v>0.62082892000000001</v>
      </c>
      <c r="N62" s="180">
        <v>0.66420129000000006</v>
      </c>
      <c r="O62" s="180">
        <v>0.65135262000000005</v>
      </c>
      <c r="P62" s="180">
        <v>0.68178795999999997</v>
      </c>
      <c r="Q62" s="180">
        <v>0.63626181999999998</v>
      </c>
      <c r="R62" s="180">
        <v>0.68206528</v>
      </c>
      <c r="S62" s="180">
        <f t="shared" si="54"/>
        <v>3.5175419199999998</v>
      </c>
      <c r="T62" s="180">
        <f>SUM(G62:R62)</f>
        <v>8.0854700499999996</v>
      </c>
      <c r="U62" s="97"/>
      <c r="V62" s="136">
        <v>0.72445177000000005</v>
      </c>
      <c r="W62" s="136">
        <v>0.71055963</v>
      </c>
      <c r="X62" s="180">
        <v>0.60639662999999999</v>
      </c>
      <c r="Y62" s="180">
        <v>0.7233584099999999</v>
      </c>
      <c r="Z62" s="180">
        <v>0.58491316000000004</v>
      </c>
      <c r="AA62" s="180"/>
      <c r="AB62" s="180"/>
      <c r="AC62" s="180"/>
      <c r="AD62" s="180"/>
      <c r="AE62" s="180"/>
      <c r="AF62" s="180"/>
      <c r="AG62" s="180"/>
      <c r="AH62" s="180">
        <f>SUM(V62:AG62)</f>
        <v>3.3496796</v>
      </c>
      <c r="AI62" s="97"/>
      <c r="AJ62" s="238"/>
      <c r="AK62" s="238"/>
      <c r="AL62" s="238"/>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40"/>
      <c r="BK62" s="240"/>
      <c r="BL62" s="422"/>
    </row>
    <row r="63" spans="2:64" s="183" customFormat="1" ht="14.25" customHeight="1">
      <c r="B63" s="182"/>
      <c r="C63" s="1049" t="str">
        <f>IF(Indice_index!$Z$1=1,"Leilão no âmbito da 5.ª Geração de comunicações móveis (5G)"," Sale of the 5th generation mobile frequency use rights (5G)")</f>
        <v xml:space="preserve"> Sale of the 5th generation mobile frequency use rights (5G)</v>
      </c>
      <c r="D63" s="1050" t="str">
        <f>IF(Indice_index!$Z$1=1,"Receita","Revenue")</f>
        <v>Revenue</v>
      </c>
      <c r="E63" s="180" t="s">
        <v>59</v>
      </c>
      <c r="F63" s="97"/>
      <c r="G63" s="136"/>
      <c r="H63" s="136"/>
      <c r="I63" s="180"/>
      <c r="J63" s="180"/>
      <c r="K63" s="180"/>
      <c r="L63" s="180"/>
      <c r="M63" s="180"/>
      <c r="N63" s="180"/>
      <c r="O63" s="180"/>
      <c r="P63" s="180"/>
      <c r="Q63" s="180">
        <v>347.43915644999998</v>
      </c>
      <c r="R63" s="180">
        <v>62.6145</v>
      </c>
      <c r="S63" s="180">
        <f t="shared" si="54"/>
        <v>0</v>
      </c>
      <c r="T63" s="180">
        <f>SUM(G63:R63)</f>
        <v>410.05365645000001</v>
      </c>
      <c r="U63" s="97"/>
      <c r="V63" s="136"/>
      <c r="W63" s="136"/>
      <c r="X63" s="180"/>
      <c r="Y63" s="180"/>
      <c r="Z63" s="180"/>
      <c r="AA63" s="180"/>
      <c r="AB63" s="180"/>
      <c r="AC63" s="180"/>
      <c r="AD63" s="180"/>
      <c r="AE63" s="180"/>
      <c r="AF63" s="180"/>
      <c r="AG63" s="180"/>
      <c r="AH63" s="180">
        <f>SUM(V63:AG63)</f>
        <v>0</v>
      </c>
      <c r="AI63" s="97"/>
      <c r="AJ63" s="238"/>
      <c r="AK63" s="238"/>
      <c r="AL63" s="238"/>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40"/>
      <c r="BK63" s="240"/>
      <c r="BL63" s="422"/>
    </row>
    <row r="64" spans="2:64" s="181" customFormat="1" ht="14.25" customHeight="1">
      <c r="B64" s="178"/>
      <c r="C64" s="688" t="str">
        <f>IF(Indice_index!$Z$1=1,"Dividendos do Banco de Portugal","Dividends from the Bank of Portugal")</f>
        <v>Dividends from the Bank of Portugal</v>
      </c>
      <c r="D64" s="1050" t="str">
        <f>IF(Indice_index!$Z$1=1,"Receita","Revenue")</f>
        <v>Revenue</v>
      </c>
      <c r="E64" s="180" t="s">
        <v>59</v>
      </c>
      <c r="F64" s="97"/>
      <c r="G64" s="136"/>
      <c r="H64" s="136"/>
      <c r="I64" s="180"/>
      <c r="J64" s="180"/>
      <c r="K64" s="180">
        <v>336.39773766000002</v>
      </c>
      <c r="L64" s="180"/>
      <c r="M64" s="180"/>
      <c r="N64" s="180"/>
      <c r="O64" s="180"/>
      <c r="P64" s="180"/>
      <c r="Q64" s="180"/>
      <c r="R64" s="180"/>
      <c r="S64" s="180">
        <f t="shared" si="54"/>
        <v>336.39773766000002</v>
      </c>
      <c r="T64" s="180">
        <f t="shared" si="57"/>
        <v>336.39773766000002</v>
      </c>
      <c r="U64" s="97"/>
      <c r="V64" s="136"/>
      <c r="W64" s="136"/>
      <c r="X64" s="180"/>
      <c r="Y64" s="180"/>
      <c r="Z64" s="180">
        <v>311.15205572000002</v>
      </c>
      <c r="AA64" s="180"/>
      <c r="AB64" s="180"/>
      <c r="AC64" s="180"/>
      <c r="AD64" s="180"/>
      <c r="AE64" s="180"/>
      <c r="AF64" s="180"/>
      <c r="AG64" s="180"/>
      <c r="AH64" s="180">
        <f t="shared" ref="AH64:AH85" si="59">SUM(V64:AG64)</f>
        <v>311.15205572000002</v>
      </c>
      <c r="AI64" s="97"/>
      <c r="AJ64" s="238"/>
      <c r="AK64" s="238"/>
      <c r="AL64" s="238"/>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4"/>
      <c r="BK64" s="234"/>
      <c r="BL64" s="422"/>
    </row>
    <row r="65" spans="2:64" s="181" customFormat="1" ht="14.25" customHeight="1">
      <c r="B65" s="178"/>
      <c r="C65" s="688" t="str">
        <f>IF(Indice_index!$Z$1=1,"Dividendos da Caixa Geral de Depósitos","Dividends from the public bank Caixa Geral de Depósitos")</f>
        <v>Dividends from the public bank Caixa Geral de Depósitos</v>
      </c>
      <c r="D65" s="1050" t="str">
        <f>IF(Indice_index!$Z$1=1,"Receita","Revenue")</f>
        <v>Revenue</v>
      </c>
      <c r="E65" s="180" t="s">
        <v>59</v>
      </c>
      <c r="F65" s="97"/>
      <c r="G65" s="136"/>
      <c r="H65" s="136"/>
      <c r="I65" s="180"/>
      <c r="J65" s="180"/>
      <c r="K65" s="180"/>
      <c r="L65" s="180">
        <v>66.074657529999996</v>
      </c>
      <c r="M65" s="180"/>
      <c r="N65" s="180"/>
      <c r="O65" s="180"/>
      <c r="P65" s="180"/>
      <c r="Q65" s="180">
        <v>237</v>
      </c>
      <c r="R65" s="180"/>
      <c r="S65" s="180">
        <f t="shared" si="54"/>
        <v>0</v>
      </c>
      <c r="T65" s="180">
        <f t="shared" si="57"/>
        <v>303.07465752999997</v>
      </c>
      <c r="U65" s="97"/>
      <c r="V65" s="136"/>
      <c r="W65" s="136"/>
      <c r="X65" s="180"/>
      <c r="Y65" s="180"/>
      <c r="Z65" s="180"/>
      <c r="AA65" s="180"/>
      <c r="AB65" s="180"/>
      <c r="AC65" s="180"/>
      <c r="AD65" s="180"/>
      <c r="AE65" s="180"/>
      <c r="AF65" s="180"/>
      <c r="AG65" s="180"/>
      <c r="AH65" s="180">
        <f t="shared" si="59"/>
        <v>0</v>
      </c>
      <c r="AI65" s="97"/>
      <c r="AJ65" s="238"/>
      <c r="AK65" s="238"/>
      <c r="AL65" s="238"/>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4"/>
      <c r="BK65" s="234"/>
      <c r="BL65" s="422"/>
    </row>
    <row r="66" spans="2:64" s="181" customFormat="1" ht="22.5">
      <c r="B66" s="178"/>
      <c r="C66" s="1049" t="str">
        <f>IF(Indice_index!$Z$1=1,"Restituições da contribuição financeira da União Europeia (ano anterior) - consignadas ao pagamento da contribuição financeira (do ano)","Refund payments on European Union own resources")</f>
        <v>Refund payments on European Union own resources</v>
      </c>
      <c r="D66" s="1050" t="str">
        <f>IF(Indice_index!$Z$1=1,"Receita","Revenue")</f>
        <v>Revenue</v>
      </c>
      <c r="E66" s="180" t="s">
        <v>59</v>
      </c>
      <c r="F66" s="97"/>
      <c r="G66" s="136"/>
      <c r="H66" s="136"/>
      <c r="I66" s="180"/>
      <c r="J66" s="180"/>
      <c r="K66" s="180"/>
      <c r="L66" s="180">
        <v>7.97505679</v>
      </c>
      <c r="M66" s="180"/>
      <c r="N66" s="180"/>
      <c r="O66" s="180"/>
      <c r="P66" s="180"/>
      <c r="Q66" s="180"/>
      <c r="R66" s="180"/>
      <c r="S66" s="180">
        <f t="shared" si="54"/>
        <v>0</v>
      </c>
      <c r="T66" s="180">
        <f t="shared" ref="T66" si="60">SUM(G66:R66)</f>
        <v>7.97505679</v>
      </c>
      <c r="U66" s="97"/>
      <c r="V66" s="136">
        <v>0.29384104</v>
      </c>
      <c r="W66" s="136"/>
      <c r="X66" s="180"/>
      <c r="Y66" s="180"/>
      <c r="Z66" s="180"/>
      <c r="AA66" s="180"/>
      <c r="AB66" s="180"/>
      <c r="AC66" s="180"/>
      <c r="AD66" s="180"/>
      <c r="AE66" s="180"/>
      <c r="AF66" s="180"/>
      <c r="AG66" s="180"/>
      <c r="AH66" s="180">
        <f t="shared" si="59"/>
        <v>0.29384104</v>
      </c>
      <c r="AI66" s="97"/>
      <c r="AJ66" s="238"/>
      <c r="AK66" s="238"/>
      <c r="AL66" s="238"/>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4"/>
      <c r="BK66" s="234"/>
      <c r="BL66" s="422"/>
    </row>
    <row r="67" spans="2:64" s="183" customFormat="1" ht="24" customHeight="1">
      <c r="B67" s="182"/>
      <c r="C67" s="1049"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Principle of onerosity (revenue recorded by the Directorate-General for Treasury and Finance (DGTF), relating to rents from previous years)</v>
      </c>
      <c r="D67" s="1050" t="str">
        <f>IF(Indice_index!$Z$1=1,"Receita","Revenue")</f>
        <v>Revenue</v>
      </c>
      <c r="E67" s="180" t="s">
        <v>59</v>
      </c>
      <c r="F67" s="97"/>
      <c r="G67" s="136"/>
      <c r="H67" s="136"/>
      <c r="I67" s="180"/>
      <c r="J67" s="180"/>
      <c r="K67" s="180">
        <v>14.275259999999999</v>
      </c>
      <c r="L67" s="180"/>
      <c r="M67" s="180"/>
      <c r="N67" s="180"/>
      <c r="O67" s="180"/>
      <c r="P67" s="180"/>
      <c r="Q67" s="180">
        <v>1.964496</v>
      </c>
      <c r="R67" s="180">
        <v>116.420406</v>
      </c>
      <c r="S67" s="180">
        <f t="shared" si="54"/>
        <v>14.275259999999999</v>
      </c>
      <c r="T67" s="180">
        <f t="shared" ref="T67:T68" si="61">SUM(G67:R67)</f>
        <v>132.66016200000001</v>
      </c>
      <c r="U67" s="97"/>
      <c r="V67" s="136"/>
      <c r="W67" s="136"/>
      <c r="X67" s="180"/>
      <c r="Y67" s="180">
        <v>3.045725</v>
      </c>
      <c r="Z67" s="180"/>
      <c r="AA67" s="180"/>
      <c r="AB67" s="180"/>
      <c r="AC67" s="180"/>
      <c r="AD67" s="180"/>
      <c r="AE67" s="180"/>
      <c r="AF67" s="180"/>
      <c r="AG67" s="180"/>
      <c r="AH67" s="180">
        <f t="shared" ref="AH67:AH68" si="62">SUM(V67:AG67)</f>
        <v>3.045725</v>
      </c>
      <c r="AI67" s="97"/>
      <c r="AJ67" s="238"/>
      <c r="AK67" s="238"/>
      <c r="AL67" s="238"/>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39"/>
      <c r="BJ67" s="240"/>
      <c r="BK67" s="240"/>
      <c r="BL67" s="422"/>
    </row>
    <row r="68" spans="2:64" s="183" customFormat="1" ht="14.25" customHeight="1">
      <c r="B68" s="182"/>
      <c r="C68" s="1049" t="str">
        <f>IF(Indice_index!$Z$1=1,"Juros remuneratórios do Programa de Ajustamento Económico e Financeiro da Região Autónoma da Madeira","Remunerative interest of the Economic and Financial Adjustment Program of the Autonomous Region of Madeira")</f>
        <v>Remunerative interest of the Economic and Financial Adjustment Program of the Autonomous Region of Madeira</v>
      </c>
      <c r="D68" s="1050" t="str">
        <f>IF(Indice_index!$Z$1=1,"Receita","Revenue")</f>
        <v>Revenue</v>
      </c>
      <c r="E68" s="180" t="s">
        <v>59</v>
      </c>
      <c r="F68" s="97"/>
      <c r="G68" s="136"/>
      <c r="H68" s="136"/>
      <c r="I68" s="180"/>
      <c r="J68" s="180"/>
      <c r="K68" s="180"/>
      <c r="L68" s="180"/>
      <c r="M68" s="180"/>
      <c r="N68" s="180"/>
      <c r="O68" s="180"/>
      <c r="P68" s="180"/>
      <c r="Q68" s="180"/>
      <c r="R68" s="180"/>
      <c r="S68" s="180">
        <f t="shared" si="54"/>
        <v>0</v>
      </c>
      <c r="T68" s="180">
        <f t="shared" si="61"/>
        <v>0</v>
      </c>
      <c r="U68" s="97"/>
      <c r="V68" s="136">
        <v>10.983673469999999</v>
      </c>
      <c r="W68" s="136"/>
      <c r="X68" s="180"/>
      <c r="Y68" s="180"/>
      <c r="Z68" s="180"/>
      <c r="AA68" s="180"/>
      <c r="AB68" s="180"/>
      <c r="AC68" s="180"/>
      <c r="AD68" s="180"/>
      <c r="AE68" s="180"/>
      <c r="AF68" s="180"/>
      <c r="AG68" s="180"/>
      <c r="AH68" s="180">
        <f t="shared" si="62"/>
        <v>10.983673469999999</v>
      </c>
      <c r="AI68" s="97"/>
      <c r="AJ68" s="238"/>
      <c r="AK68" s="238"/>
      <c r="AL68" s="238"/>
      <c r="AM68" s="239"/>
      <c r="AN68" s="239"/>
      <c r="AO68" s="239"/>
      <c r="AP68" s="239"/>
      <c r="AQ68" s="239"/>
      <c r="AR68" s="239"/>
      <c r="AS68" s="239"/>
      <c r="AT68" s="239"/>
      <c r="AU68" s="239"/>
      <c r="AV68" s="239"/>
      <c r="AW68" s="239"/>
      <c r="AX68" s="239"/>
      <c r="AY68" s="239"/>
      <c r="AZ68" s="239"/>
      <c r="BA68" s="239"/>
      <c r="BB68" s="239"/>
      <c r="BC68" s="239"/>
      <c r="BD68" s="239"/>
      <c r="BE68" s="239"/>
      <c r="BF68" s="239"/>
      <c r="BG68" s="239"/>
      <c r="BH68" s="239"/>
      <c r="BI68" s="239"/>
      <c r="BJ68" s="240"/>
      <c r="BK68" s="240"/>
      <c r="BL68" s="422"/>
    </row>
    <row r="69" spans="2:64" s="183" customFormat="1" ht="22.5">
      <c r="B69" s="182"/>
      <c r="C69" s="1049"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Update of the annual reference value of the social inclusion benefit by Portaria No. 5/2021, of January 6, with retroactive effect from October 1, 2020.</v>
      </c>
      <c r="D69" s="1050" t="str">
        <f>IF(Indice_index!$Z$1=1,"Receita","Revenue")</f>
        <v>Revenue</v>
      </c>
      <c r="E69" s="180" t="s">
        <v>59</v>
      </c>
      <c r="F69" s="97"/>
      <c r="G69" s="136"/>
      <c r="H69" s="136"/>
      <c r="I69" s="180">
        <v>87.3</v>
      </c>
      <c r="J69" s="180"/>
      <c r="K69" s="180"/>
      <c r="L69" s="180"/>
      <c r="M69" s="180"/>
      <c r="N69" s="180"/>
      <c r="O69" s="180"/>
      <c r="P69" s="180"/>
      <c r="Q69" s="180"/>
      <c r="R69" s="180"/>
      <c r="S69" s="180">
        <f t="shared" si="54"/>
        <v>87.3</v>
      </c>
      <c r="T69" s="180">
        <f t="shared" ref="T69" si="63">SUM(G69:R69)</f>
        <v>87.3</v>
      </c>
      <c r="U69" s="97"/>
      <c r="V69" s="136"/>
      <c r="W69" s="136"/>
      <c r="X69" s="180"/>
      <c r="Y69" s="180"/>
      <c r="Z69" s="180"/>
      <c r="AA69" s="180"/>
      <c r="AB69" s="180"/>
      <c r="AC69" s="180"/>
      <c r="AD69" s="180"/>
      <c r="AE69" s="180"/>
      <c r="AF69" s="180"/>
      <c r="AG69" s="180"/>
      <c r="AH69" s="180">
        <f t="shared" ref="AH69" si="64">SUM(V69:AG69)</f>
        <v>0</v>
      </c>
      <c r="AI69" s="97"/>
      <c r="AJ69" s="238"/>
      <c r="AK69" s="238"/>
      <c r="AL69" s="238"/>
      <c r="AM69" s="239"/>
      <c r="AN69" s="239"/>
      <c r="AO69" s="239"/>
      <c r="AP69" s="239"/>
      <c r="AQ69" s="239"/>
      <c r="AR69" s="239"/>
      <c r="AS69" s="239"/>
      <c r="AT69" s="239"/>
      <c r="AU69" s="239"/>
      <c r="AV69" s="239"/>
      <c r="AW69" s="239"/>
      <c r="AX69" s="239"/>
      <c r="AY69" s="239"/>
      <c r="AZ69" s="239"/>
      <c r="BA69" s="239"/>
      <c r="BB69" s="239"/>
      <c r="BC69" s="239"/>
      <c r="BD69" s="239"/>
      <c r="BE69" s="239"/>
      <c r="BF69" s="239"/>
      <c r="BG69" s="239"/>
      <c r="BH69" s="239"/>
      <c r="BI69" s="239"/>
      <c r="BJ69" s="240"/>
      <c r="BK69" s="240"/>
      <c r="BL69" s="422"/>
    </row>
    <row r="70" spans="2:64" s="183" customFormat="1" ht="15.75">
      <c r="B70" s="182"/>
      <c r="C70" s="1051" t="str">
        <f>IF(Indice_index!$Z$1=1,"Alienação de aeronaves à República da Roménia","Aircraft sales to the Republic of Romenia")</f>
        <v>Aircraft sales to the Republic of Romenia</v>
      </c>
      <c r="D70" s="1052" t="str">
        <f>IF(Indice_index!$Z$1=1,"Receita","Revenue")</f>
        <v>Revenue</v>
      </c>
      <c r="E70" s="1053" t="s">
        <v>23</v>
      </c>
      <c r="F70" s="1054"/>
      <c r="G70" s="1055"/>
      <c r="H70" s="1055">
        <v>26.836077</v>
      </c>
      <c r="I70" s="1053"/>
      <c r="J70" s="1053"/>
      <c r="K70" s="1053"/>
      <c r="L70" s="1053"/>
      <c r="M70" s="1053"/>
      <c r="N70" s="1053"/>
      <c r="O70" s="1053"/>
      <c r="P70" s="1053"/>
      <c r="Q70" s="1053"/>
      <c r="R70" s="1053"/>
      <c r="S70" s="1053">
        <f t="shared" si="54"/>
        <v>26.836077</v>
      </c>
      <c r="T70" s="1053">
        <f>SUM(G70:R70)</f>
        <v>26.836077</v>
      </c>
      <c r="U70" s="1054"/>
      <c r="V70" s="1055"/>
      <c r="W70" s="1055"/>
      <c r="X70" s="1053">
        <v>30</v>
      </c>
      <c r="Y70" s="1053"/>
      <c r="Z70" s="1053"/>
      <c r="AA70" s="1053"/>
      <c r="AB70" s="1053"/>
      <c r="AC70" s="1053"/>
      <c r="AD70" s="1053"/>
      <c r="AE70" s="1053"/>
      <c r="AF70" s="1053"/>
      <c r="AG70" s="1053"/>
      <c r="AH70" s="1053">
        <f>SUM(V70:AG70)</f>
        <v>30</v>
      </c>
      <c r="AI70" s="97"/>
      <c r="AJ70" s="238"/>
      <c r="AK70" s="238"/>
      <c r="AL70" s="238"/>
      <c r="AM70" s="239"/>
      <c r="AN70" s="239"/>
      <c r="AO70" s="239"/>
      <c r="AP70" s="239"/>
      <c r="AQ70" s="239"/>
      <c r="AR70" s="239"/>
      <c r="AS70" s="239"/>
      <c r="AT70" s="239"/>
      <c r="AU70" s="239"/>
      <c r="AV70" s="239"/>
      <c r="AW70" s="239"/>
      <c r="AX70" s="239"/>
      <c r="AY70" s="239"/>
      <c r="AZ70" s="239"/>
      <c r="BA70" s="239"/>
      <c r="BB70" s="239"/>
      <c r="BC70" s="239"/>
      <c r="BD70" s="239"/>
      <c r="BE70" s="239"/>
      <c r="BF70" s="239"/>
      <c r="BG70" s="239"/>
      <c r="BH70" s="239"/>
      <c r="BI70" s="239"/>
      <c r="BJ70" s="240"/>
      <c r="BK70" s="240"/>
      <c r="BL70" s="422"/>
    </row>
    <row r="71" spans="2:64" s="183" customFormat="1" ht="22.5">
      <c r="B71" s="182"/>
      <c r="C71" s="1049" t="str">
        <f>IF(Indice_index!$Z$1=1,C129,C130)</f>
        <v>December’s employer social security contributions payed in january by the Basic and Secondary Education Establishments.</v>
      </c>
      <c r="D71" s="1201" t="str">
        <f>IF(Indice_index!$Z$1=1,"Despesa","Expenditure")</f>
        <v>Expenditure</v>
      </c>
      <c r="E71" s="180" t="s">
        <v>28</v>
      </c>
      <c r="F71" s="112"/>
      <c r="G71" s="136">
        <v>38.25415211</v>
      </c>
      <c r="H71" s="136"/>
      <c r="I71" s="180"/>
      <c r="J71" s="180"/>
      <c r="K71" s="180"/>
      <c r="L71" s="180"/>
      <c r="M71" s="180"/>
      <c r="N71" s="180"/>
      <c r="O71" s="180"/>
      <c r="P71" s="180"/>
      <c r="Q71" s="180"/>
      <c r="R71" s="180"/>
      <c r="S71" s="180">
        <f>SUM(G71:K71)</f>
        <v>38.25415211</v>
      </c>
      <c r="T71" s="180">
        <f>SUM(G71:R71)</f>
        <v>38.25415211</v>
      </c>
      <c r="U71" s="112"/>
      <c r="V71" s="136">
        <v>1.3520901699999999</v>
      </c>
      <c r="W71" s="136"/>
      <c r="X71" s="180"/>
      <c r="Y71" s="180"/>
      <c r="Z71" s="180"/>
      <c r="AA71" s="180"/>
      <c r="AB71" s="180"/>
      <c r="AC71" s="180"/>
      <c r="AD71" s="180"/>
      <c r="AE71" s="180"/>
      <c r="AF71" s="180"/>
      <c r="AG71" s="180"/>
      <c r="AH71" s="180">
        <f>SUM(V71:AG71)</f>
        <v>1.3520901699999999</v>
      </c>
      <c r="AI71" s="97"/>
      <c r="AJ71" s="238"/>
      <c r="AK71" s="238"/>
      <c r="AL71" s="238"/>
      <c r="AM71" s="239"/>
      <c r="AN71" s="239"/>
      <c r="AO71" s="239"/>
      <c r="AP71" s="239"/>
      <c r="AQ71" s="239"/>
      <c r="AR71" s="239"/>
      <c r="AS71" s="239"/>
      <c r="AT71" s="239"/>
      <c r="AU71" s="239"/>
      <c r="AV71" s="239"/>
      <c r="AW71" s="239"/>
      <c r="AX71" s="239"/>
      <c r="AY71" s="239"/>
      <c r="AZ71" s="239"/>
      <c r="BA71" s="239"/>
      <c r="BB71" s="239"/>
      <c r="BC71" s="239"/>
      <c r="BD71" s="239"/>
      <c r="BE71" s="239"/>
      <c r="BF71" s="239"/>
      <c r="BG71" s="239"/>
      <c r="BH71" s="239"/>
      <c r="BI71" s="239"/>
      <c r="BJ71" s="240"/>
      <c r="BK71" s="240"/>
      <c r="BL71" s="422"/>
    </row>
    <row r="72" spans="2:64" s="183" customFormat="1" ht="25.5" customHeight="1">
      <c r="B72" s="182"/>
      <c r="C72" s="1049"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Settlement of overdue debt to suppliers by National Health Service’s entities, with counterpart in increases in the respective capital by the State (a)</v>
      </c>
      <c r="D72" s="1201" t="str">
        <f>IF(Indice_index!$Z$1=1,"Despesa","Expenditure")</f>
        <v>Expenditure</v>
      </c>
      <c r="E72" s="180" t="s">
        <v>87</v>
      </c>
      <c r="F72" s="112"/>
      <c r="G72" s="136"/>
      <c r="H72" s="136"/>
      <c r="I72" s="180"/>
      <c r="J72" s="180"/>
      <c r="K72" s="180"/>
      <c r="L72" s="180"/>
      <c r="M72" s="180"/>
      <c r="N72" s="180">
        <v>334.63643481999998</v>
      </c>
      <c r="O72" s="180">
        <v>9.7948094399999981</v>
      </c>
      <c r="P72" s="180">
        <v>-8.3664099999666217E-3</v>
      </c>
      <c r="Q72" s="180">
        <v>-1.2073909999966621E-2</v>
      </c>
      <c r="R72" s="180">
        <v>686.92602964000002</v>
      </c>
      <c r="S72" s="180">
        <f t="shared" si="54"/>
        <v>0</v>
      </c>
      <c r="T72" s="180">
        <f t="shared" ref="T72:T84" si="65">SUM(G72:R72)</f>
        <v>1031.3368335800001</v>
      </c>
      <c r="U72" s="112"/>
      <c r="V72" s="136"/>
      <c r="W72" s="136"/>
      <c r="X72" s="180"/>
      <c r="Y72" s="180"/>
      <c r="Z72" s="180"/>
      <c r="AA72" s="180"/>
      <c r="AB72" s="180"/>
      <c r="AC72" s="180"/>
      <c r="AD72" s="180"/>
      <c r="AE72" s="180"/>
      <c r="AF72" s="180"/>
      <c r="AG72" s="180"/>
      <c r="AH72" s="180">
        <f>SUM(V72:AG72)</f>
        <v>0</v>
      </c>
      <c r="AI72" s="97"/>
      <c r="AJ72" s="238"/>
      <c r="AK72" s="238"/>
      <c r="AL72" s="238"/>
      <c r="AM72" s="239"/>
      <c r="AN72" s="239"/>
      <c r="AO72" s="239"/>
      <c r="AP72" s="239"/>
      <c r="AQ72" s="239"/>
      <c r="AR72" s="239"/>
      <c r="AS72" s="239"/>
      <c r="AT72" s="239"/>
      <c r="AU72" s="239"/>
      <c r="AV72" s="239"/>
      <c r="AW72" s="239"/>
      <c r="AX72" s="239"/>
      <c r="AY72" s="239"/>
      <c r="AZ72" s="239"/>
      <c r="BA72" s="239"/>
      <c r="BB72" s="239"/>
      <c r="BC72" s="239"/>
      <c r="BD72" s="239"/>
      <c r="BE72" s="239"/>
      <c r="BF72" s="239"/>
      <c r="BG72" s="239"/>
      <c r="BH72" s="239"/>
      <c r="BI72" s="239"/>
      <c r="BJ72" s="240"/>
      <c r="BK72" s="240"/>
      <c r="BL72" s="422"/>
    </row>
    <row r="73" spans="2:64" s="183" customFormat="1" ht="33.75">
      <c r="B73" s="182"/>
      <c r="C73" s="1049" t="str">
        <f>IF(Indice_index!$Z$1=1,C132,C133)</f>
        <v>Directorate General for National Defence Resources - Payment made in December 2021, as a financial compensation for the use of public buildings, but which refers to the year 2020.</v>
      </c>
      <c r="D73" s="1201" t="str">
        <f>IF(Indice_index!$Z$1=1,"Despesa","Expenditure")</f>
        <v>Expenditure</v>
      </c>
      <c r="E73" s="180" t="s">
        <v>29</v>
      </c>
      <c r="F73" s="112"/>
      <c r="G73" s="136"/>
      <c r="H73" s="136"/>
      <c r="I73" s="180"/>
      <c r="J73" s="180"/>
      <c r="K73" s="180"/>
      <c r="L73" s="180"/>
      <c r="M73" s="180"/>
      <c r="N73" s="180"/>
      <c r="O73" s="180"/>
      <c r="P73" s="180"/>
      <c r="Q73" s="180"/>
      <c r="R73" s="180">
        <v>-115.58609199999999</v>
      </c>
      <c r="S73" s="180">
        <f t="shared" si="54"/>
        <v>0</v>
      </c>
      <c r="T73" s="180">
        <f t="shared" si="65"/>
        <v>-115.58609199999999</v>
      </c>
      <c r="U73" s="112"/>
      <c r="V73" s="136"/>
      <c r="W73" s="136"/>
      <c r="X73" s="180"/>
      <c r="Y73" s="180"/>
      <c r="Z73" s="180"/>
      <c r="AA73" s="180"/>
      <c r="AB73" s="180"/>
      <c r="AC73" s="180"/>
      <c r="AD73" s="180"/>
      <c r="AE73" s="180"/>
      <c r="AF73" s="180"/>
      <c r="AG73" s="180"/>
      <c r="AH73" s="180">
        <f t="shared" ref="AH73" si="66">SUM(V73:AG73)</f>
        <v>0</v>
      </c>
      <c r="AI73" s="97"/>
      <c r="AJ73" s="238"/>
      <c r="AK73" s="238"/>
      <c r="AL73" s="238"/>
      <c r="AM73" s="239"/>
      <c r="AN73" s="239"/>
      <c r="AO73" s="239"/>
      <c r="AP73" s="239"/>
      <c r="AQ73" s="239"/>
      <c r="AR73" s="239"/>
      <c r="AS73" s="239"/>
      <c r="AT73" s="239"/>
      <c r="AU73" s="239"/>
      <c r="AV73" s="239"/>
      <c r="AW73" s="239"/>
      <c r="AX73" s="239"/>
      <c r="AY73" s="239"/>
      <c r="AZ73" s="239"/>
      <c r="BA73" s="239"/>
      <c r="BB73" s="239"/>
      <c r="BC73" s="239"/>
      <c r="BD73" s="239"/>
      <c r="BE73" s="239"/>
      <c r="BF73" s="239"/>
      <c r="BG73" s="239"/>
      <c r="BH73" s="239"/>
      <c r="BI73" s="239"/>
      <c r="BJ73" s="240"/>
      <c r="BK73" s="240"/>
      <c r="BL73" s="422"/>
    </row>
    <row r="74" spans="2:64" s="183" customFormat="1" ht="22.5">
      <c r="B74" s="182"/>
      <c r="C74" s="1049" t="str">
        <f>IF(Indice_index!$Z$1=1,C157,C158)</f>
        <v>Payment to the Hospital Beatriz Ângelo's public-private partnership, made in January 2022, following arbitral tribunal decision.</v>
      </c>
      <c r="D74" s="1201" t="str">
        <f>IF(Indice_index!$Z$1=1,"Despesa","Expenditure")</f>
        <v>Expenditure</v>
      </c>
      <c r="E74" s="180" t="s">
        <v>29</v>
      </c>
      <c r="F74" s="112"/>
      <c r="G74" s="136"/>
      <c r="H74" s="136"/>
      <c r="I74" s="180"/>
      <c r="J74" s="180"/>
      <c r="K74" s="180"/>
      <c r="L74" s="180"/>
      <c r="M74" s="180"/>
      <c r="N74" s="180"/>
      <c r="O74" s="180"/>
      <c r="P74" s="180"/>
      <c r="Q74" s="180"/>
      <c r="R74" s="180"/>
      <c r="S74" s="180">
        <f t="shared" si="54"/>
        <v>0</v>
      </c>
      <c r="T74" s="180">
        <f t="shared" si="65"/>
        <v>0</v>
      </c>
      <c r="U74" s="112"/>
      <c r="V74" s="136">
        <f>18290256/10^6</f>
        <v>18.290255999999999</v>
      </c>
      <c r="W74" s="136"/>
      <c r="X74" s="180"/>
      <c r="Y74" s="180"/>
      <c r="Z74" s="180"/>
      <c r="AA74" s="180"/>
      <c r="AB74" s="180"/>
      <c r="AC74" s="180"/>
      <c r="AD74" s="180"/>
      <c r="AE74" s="180"/>
      <c r="AF74" s="180"/>
      <c r="AG74" s="180"/>
      <c r="AH74" s="180">
        <f t="shared" ref="AH74" si="67">SUM(V74:AG74)</f>
        <v>18.290255999999999</v>
      </c>
      <c r="AI74" s="97"/>
      <c r="AJ74" s="238"/>
      <c r="AK74" s="238"/>
      <c r="AL74" s="238"/>
      <c r="AM74" s="239"/>
      <c r="AN74" s="239"/>
      <c r="AO74" s="239"/>
      <c r="AP74" s="239"/>
      <c r="AQ74" s="239"/>
      <c r="AR74" s="239"/>
      <c r="AS74" s="239"/>
      <c r="AT74" s="239"/>
      <c r="AU74" s="239"/>
      <c r="AV74" s="239"/>
      <c r="AW74" s="239"/>
      <c r="AX74" s="239"/>
      <c r="AY74" s="239"/>
      <c r="AZ74" s="239"/>
      <c r="BA74" s="239"/>
      <c r="BB74" s="239"/>
      <c r="BC74" s="239"/>
      <c r="BD74" s="239"/>
      <c r="BE74" s="239"/>
      <c r="BF74" s="239"/>
      <c r="BG74" s="239"/>
      <c r="BH74" s="239"/>
      <c r="BI74" s="239"/>
      <c r="BJ74" s="240"/>
      <c r="BK74" s="240"/>
      <c r="BL74" s="422"/>
    </row>
    <row r="75" spans="2:64" s="183" customFormat="1" ht="26.25" customHeight="1">
      <c r="B75" s="182"/>
      <c r="C75" s="1049" t="str">
        <f>IF(Indice_index!$Z$1=1,C135,C136)</f>
        <v>Return from the European Financial Stabilization Fund to the Portuguese State of the profitability of the prepaid margins retained when the loan was initially disbursed.</v>
      </c>
      <c r="D75" s="1201" t="str">
        <f>IF(Indice_index!$Z$1=1,"Despesa","Expenditure")</f>
        <v>Expenditure</v>
      </c>
      <c r="E75" s="180" t="s">
        <v>30</v>
      </c>
      <c r="F75" s="112"/>
      <c r="G75" s="136"/>
      <c r="H75" s="136"/>
      <c r="I75" s="180"/>
      <c r="J75" s="180"/>
      <c r="K75" s="180"/>
      <c r="L75" s="180"/>
      <c r="M75" s="180">
        <v>-286.65263454000001</v>
      </c>
      <c r="N75" s="180"/>
      <c r="O75" s="180"/>
      <c r="P75" s="180"/>
      <c r="Q75" s="180"/>
      <c r="R75" s="180"/>
      <c r="S75" s="180">
        <f t="shared" si="54"/>
        <v>0</v>
      </c>
      <c r="T75" s="180">
        <f t="shared" si="65"/>
        <v>-286.65263454000001</v>
      </c>
      <c r="U75" s="112"/>
      <c r="V75" s="136"/>
      <c r="W75" s="136"/>
      <c r="X75" s="180"/>
      <c r="Y75" s="180"/>
      <c r="Z75" s="180"/>
      <c r="AA75" s="180"/>
      <c r="AB75" s="180"/>
      <c r="AC75" s="180"/>
      <c r="AD75" s="180"/>
      <c r="AE75" s="180"/>
      <c r="AF75" s="180"/>
      <c r="AG75" s="180"/>
      <c r="AH75" s="180">
        <f t="shared" si="59"/>
        <v>0</v>
      </c>
      <c r="AI75" s="97"/>
      <c r="AJ75" s="238"/>
      <c r="AK75" s="238"/>
      <c r="AL75" s="238"/>
      <c r="AM75" s="239"/>
      <c r="AN75" s="239"/>
      <c r="AO75" s="239"/>
      <c r="AP75" s="239"/>
      <c r="AQ75" s="239"/>
      <c r="AR75" s="239"/>
      <c r="AS75" s="239"/>
      <c r="AT75" s="239"/>
      <c r="AU75" s="239"/>
      <c r="AV75" s="239"/>
      <c r="AW75" s="239"/>
      <c r="AX75" s="239"/>
      <c r="AY75" s="239"/>
      <c r="AZ75" s="239"/>
      <c r="BA75" s="239"/>
      <c r="BB75" s="239"/>
      <c r="BC75" s="239"/>
      <c r="BD75" s="239"/>
      <c r="BE75" s="239"/>
      <c r="BF75" s="239"/>
      <c r="BG75" s="239"/>
      <c r="BH75" s="239"/>
      <c r="BI75" s="239"/>
      <c r="BJ75" s="240"/>
      <c r="BK75" s="240"/>
      <c r="BL75" s="422"/>
    </row>
    <row r="76" spans="2:64" s="183" customFormat="1" ht="34.5" customHeight="1">
      <c r="B76" s="182"/>
      <c r="C76" s="1049" t="str">
        <f>IF(Indice_index!$Z$1=1,C138,C139)</f>
        <v>Compensation mechanism between 2019 and 2021 for the part of the transfers not delivered in 2018, due to the maximum growth limitation mechanism for each municipality and parish in the previous version of the Local Finances Law (current transfers).</v>
      </c>
      <c r="D76" s="1201" t="str">
        <f>IF(Indice_index!$Z$1=1,"Despesa","Expenditure")</f>
        <v>Expenditure</v>
      </c>
      <c r="E76" s="136" t="s">
        <v>87</v>
      </c>
      <c r="F76" s="97"/>
      <c r="G76" s="136">
        <v>5.8756139999999997</v>
      </c>
      <c r="H76" s="136"/>
      <c r="I76" s="136"/>
      <c r="J76" s="136">
        <v>5.8756139999999988</v>
      </c>
      <c r="K76" s="136"/>
      <c r="L76" s="136"/>
      <c r="M76" s="136">
        <v>5.8753380000000011</v>
      </c>
      <c r="N76" s="136">
        <v>0</v>
      </c>
      <c r="O76" s="136">
        <v>0</v>
      </c>
      <c r="P76" s="136">
        <v>5.8782579999999989</v>
      </c>
      <c r="Q76" s="136"/>
      <c r="R76" s="136"/>
      <c r="S76" s="180">
        <f t="shared" si="54"/>
        <v>11.751227999999998</v>
      </c>
      <c r="T76" s="180">
        <f t="shared" si="65"/>
        <v>23.504823999999996</v>
      </c>
      <c r="U76" s="97"/>
      <c r="V76" s="136">
        <v>1.9571480000000001</v>
      </c>
      <c r="W76" s="136">
        <v>1.9571480000000001</v>
      </c>
      <c r="X76" s="180">
        <v>1.9571480000000001</v>
      </c>
      <c r="Y76" s="180">
        <v>1.9571480000000001</v>
      </c>
      <c r="Z76" s="180">
        <v>1.9571480000000001</v>
      </c>
      <c r="AA76" s="180"/>
      <c r="AB76" s="180"/>
      <c r="AC76" s="180"/>
      <c r="AD76" s="180"/>
      <c r="AE76" s="180"/>
      <c r="AF76" s="1366"/>
      <c r="AG76" s="1366"/>
      <c r="AH76" s="180">
        <f t="shared" si="59"/>
        <v>9.7857400000000005</v>
      </c>
      <c r="AI76" s="97"/>
      <c r="AJ76" s="238"/>
      <c r="AK76" s="238"/>
      <c r="AL76" s="238"/>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40"/>
      <c r="BK76" s="240"/>
      <c r="BL76" s="422"/>
    </row>
    <row r="77" spans="2:64" s="183" customFormat="1" ht="33.75">
      <c r="B77" s="182"/>
      <c r="C77" s="1049"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 to Greece, through the European Stability Mechanism (ESM), regarding the amounts equivalent to the income earned on Securities Market Program (SMP)/ Agreement on Net Financial Assets (ANFA) holdings.</v>
      </c>
      <c r="D77" s="1201" t="str">
        <f>IF(Indice_index!$Z$1=1,"Despesa","Expenditure")</f>
        <v>Expenditure</v>
      </c>
      <c r="E77" s="136" t="s">
        <v>32</v>
      </c>
      <c r="F77" s="97"/>
      <c r="G77" s="136"/>
      <c r="H77" s="136"/>
      <c r="I77" s="136"/>
      <c r="J77" s="136"/>
      <c r="K77" s="136"/>
      <c r="L77" s="136"/>
      <c r="M77" s="136">
        <v>10.34</v>
      </c>
      <c r="N77" s="136"/>
      <c r="O77" s="136"/>
      <c r="P77" s="136"/>
      <c r="Q77" s="136"/>
      <c r="R77" s="136"/>
      <c r="S77" s="180">
        <f t="shared" si="54"/>
        <v>0</v>
      </c>
      <c r="T77" s="180">
        <f t="shared" si="65"/>
        <v>10.34</v>
      </c>
      <c r="U77" s="97"/>
      <c r="V77" s="136"/>
      <c r="W77" s="136">
        <v>4.16</v>
      </c>
      <c r="X77" s="180"/>
      <c r="Y77" s="180"/>
      <c r="Z77" s="180"/>
      <c r="AA77" s="180"/>
      <c r="AB77" s="180"/>
      <c r="AC77" s="180"/>
      <c r="AD77" s="180"/>
      <c r="AE77" s="180"/>
      <c r="AF77" s="180"/>
      <c r="AG77" s="1367"/>
      <c r="AH77" s="180">
        <f t="shared" ref="AH77:AH81" si="68">SUM(V77:AG77)</f>
        <v>4.16</v>
      </c>
      <c r="AI77" s="97"/>
      <c r="AJ77" s="238"/>
      <c r="AK77" s="238"/>
      <c r="AL77" s="238"/>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40"/>
      <c r="BK77" s="240"/>
      <c r="BL77" s="422"/>
    </row>
    <row r="78" spans="2:64" s="183" customFormat="1" ht="33.75">
      <c r="B78" s="182"/>
      <c r="C78" s="1049" t="str">
        <f>IF(Indice_index!$Z$1=1,C141,C142)</f>
        <v>Update of the annual reference value of the social inclusion benefit by Portaria No. 5/2021, of January 6, with retroactive effect from October 1, 2020. This accounting operation was compensated by an opposite efect on the revenue side.</v>
      </c>
      <c r="D78" s="1201" t="str">
        <f>IF(Indice_index!$Z$1=1,"Despesa","Expenditure")</f>
        <v>Expenditure</v>
      </c>
      <c r="E78" s="136" t="s">
        <v>32</v>
      </c>
      <c r="F78" s="97"/>
      <c r="G78" s="136"/>
      <c r="H78" s="136"/>
      <c r="I78" s="136">
        <v>87.3</v>
      </c>
      <c r="J78" s="136"/>
      <c r="K78" s="136"/>
      <c r="L78" s="136"/>
      <c r="M78" s="136"/>
      <c r="N78" s="136"/>
      <c r="O78" s="136"/>
      <c r="P78" s="136"/>
      <c r="Q78" s="136"/>
      <c r="R78" s="136"/>
      <c r="S78" s="180">
        <f t="shared" si="54"/>
        <v>87.3</v>
      </c>
      <c r="T78" s="180">
        <f t="shared" si="65"/>
        <v>87.3</v>
      </c>
      <c r="U78" s="97"/>
      <c r="V78" s="136"/>
      <c r="W78" s="136"/>
      <c r="X78" s="180"/>
      <c r="Y78" s="180"/>
      <c r="Z78" s="180"/>
      <c r="AA78" s="180"/>
      <c r="AB78" s="180"/>
      <c r="AC78" s="180"/>
      <c r="AD78" s="180"/>
      <c r="AE78" s="180"/>
      <c r="AF78" s="180"/>
      <c r="AG78" s="1367"/>
      <c r="AH78" s="180">
        <f t="shared" ref="AH78" si="69">SUM(V78:AG78)</f>
        <v>0</v>
      </c>
      <c r="AI78" s="97"/>
      <c r="AJ78" s="238"/>
      <c r="AK78" s="238"/>
      <c r="AL78" s="238"/>
      <c r="AM78" s="239"/>
      <c r="AN78" s="239"/>
      <c r="AO78" s="239"/>
      <c r="AP78" s="239"/>
      <c r="AQ78" s="239"/>
      <c r="AR78" s="239"/>
      <c r="AS78" s="239"/>
      <c r="AT78" s="239"/>
      <c r="AU78" s="239"/>
      <c r="AV78" s="239"/>
      <c r="AW78" s="239"/>
      <c r="AX78" s="239"/>
      <c r="AY78" s="239"/>
      <c r="AZ78" s="239"/>
      <c r="BA78" s="239"/>
      <c r="BB78" s="239"/>
      <c r="BC78" s="239"/>
      <c r="BD78" s="239"/>
      <c r="BE78" s="239"/>
      <c r="BF78" s="239"/>
      <c r="BG78" s="239"/>
      <c r="BH78" s="239"/>
      <c r="BI78" s="239"/>
      <c r="BJ78" s="240"/>
      <c r="BK78" s="240"/>
      <c r="BL78" s="422"/>
    </row>
    <row r="79" spans="2:64" s="183" customFormat="1" ht="25.5" hidden="1" customHeight="1">
      <c r="B79" s="182"/>
      <c r="C79" s="1049" t="str">
        <f>IF(Indice_index!$Z$1=1,C145,C146)</f>
        <v>Reclassification, in 2021, of spending related to “IVAucher”, a COVID-19 crisis response program, by the Directorate General of Treasury and Finance, from ‘other current expenditure’ to ‘subsidies’.</v>
      </c>
      <c r="D79" s="1201" t="str">
        <f>IF(Indice_index!$Z$1=1,"Despesa","Expenditure")</f>
        <v>Expenditure</v>
      </c>
      <c r="E79" s="136" t="s">
        <v>33</v>
      </c>
      <c r="F79" s="97"/>
      <c r="G79" s="136"/>
      <c r="H79" s="136"/>
      <c r="I79" s="136"/>
      <c r="J79" s="136"/>
      <c r="K79" s="136"/>
      <c r="L79" s="136"/>
      <c r="M79" s="136"/>
      <c r="N79" s="136"/>
      <c r="O79" s="136">
        <v>47.518923000000001</v>
      </c>
      <c r="P79" s="136"/>
      <c r="Q79" s="136">
        <v>-47.518923000000001</v>
      </c>
      <c r="R79" s="136"/>
      <c r="S79" s="180">
        <f t="shared" si="54"/>
        <v>0</v>
      </c>
      <c r="T79" s="180">
        <f t="shared" si="65"/>
        <v>0</v>
      </c>
      <c r="U79" s="97"/>
      <c r="V79" s="136"/>
      <c r="W79" s="136"/>
      <c r="X79" s="180"/>
      <c r="Y79" s="180"/>
      <c r="Z79" s="180"/>
      <c r="AA79" s="180"/>
      <c r="AB79" s="180"/>
      <c r="AC79" s="180"/>
      <c r="AD79" s="180"/>
      <c r="AE79" s="180"/>
      <c r="AF79" s="180"/>
      <c r="AG79" s="180"/>
      <c r="AH79" s="180">
        <f t="shared" si="68"/>
        <v>0</v>
      </c>
      <c r="AI79" s="97"/>
      <c r="AJ79" s="238"/>
      <c r="AK79" s="238"/>
      <c r="AL79" s="238"/>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40"/>
      <c r="BK79" s="240"/>
      <c r="BL79" s="422"/>
    </row>
    <row r="80" spans="2:64" s="183" customFormat="1" ht="22.5" hidden="1">
      <c r="B80" s="182"/>
      <c r="C80" s="1049" t="str">
        <f>IF(Indice_index!$Z$1=1,C145,C146)</f>
        <v>Reclassification, in 2021, of spending related to “IVAucher”, a COVID-19 crisis response program, by the Directorate General of Treasury and Finance, from ‘other current expenditure’ to ‘subsidies’.</v>
      </c>
      <c r="D80" s="1201" t="str">
        <f>IF(Indice_index!$Z$1=1,"Despesa","Expenditure")</f>
        <v>Expenditure</v>
      </c>
      <c r="E80" s="136" t="s">
        <v>34</v>
      </c>
      <c r="F80" s="97"/>
      <c r="G80" s="136"/>
      <c r="H80" s="136"/>
      <c r="I80" s="136"/>
      <c r="J80" s="136"/>
      <c r="K80" s="136"/>
      <c r="L80" s="136"/>
      <c r="M80" s="136"/>
      <c r="N80" s="136"/>
      <c r="O80" s="136">
        <v>-47.518923000000001</v>
      </c>
      <c r="P80" s="136"/>
      <c r="Q80" s="136">
        <v>47.518923000000001</v>
      </c>
      <c r="R80" s="136"/>
      <c r="S80" s="180">
        <f t="shared" si="54"/>
        <v>0</v>
      </c>
      <c r="T80" s="180">
        <f t="shared" si="65"/>
        <v>0</v>
      </c>
      <c r="U80" s="97"/>
      <c r="V80" s="136"/>
      <c r="W80" s="136"/>
      <c r="X80" s="180"/>
      <c r="Y80" s="180"/>
      <c r="Z80" s="180"/>
      <c r="AA80" s="180"/>
      <c r="AB80" s="180"/>
      <c r="AC80" s="180"/>
      <c r="AD80" s="180"/>
      <c r="AE80" s="180"/>
      <c r="AF80" s="180"/>
      <c r="AG80" s="180"/>
      <c r="AH80" s="180">
        <f t="shared" ref="AH80" si="70">SUM(V80:AG80)</f>
        <v>0</v>
      </c>
      <c r="AI80" s="97"/>
      <c r="AJ80" s="238"/>
      <c r="AK80" s="238"/>
      <c r="AL80" s="238"/>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40"/>
      <c r="BK80" s="240"/>
      <c r="BL80" s="422"/>
    </row>
    <row r="81" spans="2:64" s="183" customFormat="1" ht="15.75">
      <c r="B81" s="182"/>
      <c r="C81" s="1049" t="str">
        <f>IF(Indice_index!$Z$1=1,"Metropolitano de Lisboa, E.P.E. – pagamento final respeitante à aquisição de material circulante.","Metropolitano de Lisboa, E.P.E. - final payment related to the acquisition of a rolling stock.")</f>
        <v>Metropolitano de Lisboa, E.P.E. - final payment related to the acquisition of a rolling stock.</v>
      </c>
      <c r="D81" s="1201" t="str">
        <f>IF(Indice_index!$Z$1=1,"Despesa","Expenditure")</f>
        <v>Expenditure</v>
      </c>
      <c r="E81" s="136" t="s">
        <v>35</v>
      </c>
      <c r="F81" s="97"/>
      <c r="G81" s="136"/>
      <c r="H81" s="136"/>
      <c r="I81" s="136"/>
      <c r="J81" s="136"/>
      <c r="K81" s="136"/>
      <c r="L81" s="136"/>
      <c r="M81" s="136"/>
      <c r="N81" s="136"/>
      <c r="O81" s="136">
        <v>52.777777999999998</v>
      </c>
      <c r="P81" s="136"/>
      <c r="Q81" s="136"/>
      <c r="R81" s="136"/>
      <c r="S81" s="180">
        <f t="shared" si="54"/>
        <v>0</v>
      </c>
      <c r="T81" s="180">
        <f t="shared" si="65"/>
        <v>52.777777999999998</v>
      </c>
      <c r="U81" s="97"/>
      <c r="V81" s="136"/>
      <c r="W81" s="136"/>
      <c r="X81" s="180"/>
      <c r="Y81" s="180"/>
      <c r="Z81" s="180"/>
      <c r="AA81" s="180"/>
      <c r="AB81" s="180"/>
      <c r="AC81" s="180"/>
      <c r="AD81" s="180"/>
      <c r="AE81" s="180"/>
      <c r="AF81" s="180"/>
      <c r="AG81" s="180"/>
      <c r="AH81" s="180">
        <f t="shared" si="68"/>
        <v>0</v>
      </c>
      <c r="AI81" s="97"/>
      <c r="AJ81" s="238"/>
      <c r="AK81" s="238"/>
      <c r="AL81" s="238"/>
      <c r="AM81" s="239"/>
      <c r="AN81" s="239"/>
      <c r="AO81" s="239"/>
      <c r="AP81" s="239"/>
      <c r="AQ81" s="239"/>
      <c r="AR81" s="239"/>
      <c r="AS81" s="239"/>
      <c r="AT81" s="239"/>
      <c r="AU81" s="239"/>
      <c r="AV81" s="239"/>
      <c r="AW81" s="239"/>
      <c r="AX81" s="239"/>
      <c r="AY81" s="239"/>
      <c r="AZ81" s="239"/>
      <c r="BA81" s="239"/>
      <c r="BB81" s="239"/>
      <c r="BC81" s="239"/>
      <c r="BD81" s="239"/>
      <c r="BE81" s="239"/>
      <c r="BF81" s="239"/>
      <c r="BG81" s="239"/>
      <c r="BH81" s="239"/>
      <c r="BI81" s="239"/>
      <c r="BJ81" s="240"/>
      <c r="BK81" s="240"/>
      <c r="BL81" s="422"/>
    </row>
    <row r="82" spans="2:64" s="183" customFormat="1" ht="15.75">
      <c r="B82" s="182"/>
      <c r="C82" s="1049" t="str">
        <f>IF(Indice_index!$Z$1=1,"Pagamento de decisão judicial à concessionária RAL.","Payment of court decision to the RAL concessionaire.")</f>
        <v>Payment of court decision to the RAL concessionaire.</v>
      </c>
      <c r="D82" s="1201" t="str">
        <f>IF(Indice_index!$Z$1=1,"Despesa","Expenditure")</f>
        <v>Expenditure</v>
      </c>
      <c r="E82" s="136" t="s">
        <v>35</v>
      </c>
      <c r="F82" s="97"/>
      <c r="G82" s="136"/>
      <c r="H82" s="136"/>
      <c r="I82" s="136"/>
      <c r="J82" s="136">
        <v>38.340000000000003</v>
      </c>
      <c r="K82" s="136">
        <v>1.4299999999999997</v>
      </c>
      <c r="L82" s="136">
        <v>1.4339999999999975</v>
      </c>
      <c r="M82" s="136"/>
      <c r="N82" s="136">
        <v>1.4699999999999989</v>
      </c>
      <c r="O82" s="136">
        <v>1.5529999999999973</v>
      </c>
      <c r="P82" s="136">
        <v>1.5530000000000044</v>
      </c>
      <c r="Q82" s="136">
        <v>1.5529999999999973</v>
      </c>
      <c r="R82" s="136">
        <v>1.5530000000000044</v>
      </c>
      <c r="S82" s="180">
        <f t="shared" si="54"/>
        <v>39.770000000000003</v>
      </c>
      <c r="T82" s="180">
        <f>SUM(G82:R82)</f>
        <v>48.886000000000003</v>
      </c>
      <c r="U82" s="97"/>
      <c r="V82" s="136">
        <v>1.5529999999999999</v>
      </c>
      <c r="W82" s="136"/>
      <c r="X82" s="180">
        <v>3.1065026400000004</v>
      </c>
      <c r="Y82" s="180">
        <v>1.5532513199999993</v>
      </c>
      <c r="Z82" s="180">
        <v>1.5532513200000002</v>
      </c>
      <c r="AA82" s="180"/>
      <c r="AB82" s="180"/>
      <c r="AC82" s="180"/>
      <c r="AD82" s="180"/>
      <c r="AE82" s="180"/>
      <c r="AF82" s="180"/>
      <c r="AG82" s="180"/>
      <c r="AH82" s="180">
        <f>SUM(V82:AG82)</f>
        <v>7.7660052799999999</v>
      </c>
      <c r="AI82" s="97"/>
      <c r="AJ82" s="238"/>
      <c r="AK82" s="238"/>
      <c r="AL82" s="238"/>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40"/>
      <c r="BK82" s="240"/>
      <c r="BL82" s="422"/>
    </row>
    <row r="83" spans="2:64" s="183" customFormat="1" ht="34.5" customHeight="1">
      <c r="B83" s="182"/>
      <c r="C83" s="1049" t="str">
        <f>IF(Indice_index!$Z$1=1,C148,C149)</f>
        <v>Compensation mechanism between 2019 and 2021 for the part of the transfers not delivered in 2018, due to the maximum growth limitation mechanism for each municipality and parish in the previous version of the Local Finances Law (capital transfers).</v>
      </c>
      <c r="D83" s="1201" t="str">
        <f>IF(Indice_index!$Z$1=1,"Despesa","Expenditure")</f>
        <v>Expenditure</v>
      </c>
      <c r="E83" s="136" t="s">
        <v>37</v>
      </c>
      <c r="F83" s="97"/>
      <c r="G83" s="136">
        <v>13.88124</v>
      </c>
      <c r="H83" s="136">
        <v>14.138688</v>
      </c>
      <c r="I83" s="136">
        <v>13.929066999999996</v>
      </c>
      <c r="J83" s="136">
        <v>13.865551000000004</v>
      </c>
      <c r="K83" s="136">
        <v>13.901340999999995</v>
      </c>
      <c r="L83" s="136">
        <v>13.865551000000011</v>
      </c>
      <c r="M83" s="136">
        <v>13.865550999999996</v>
      </c>
      <c r="N83" s="136">
        <v>13.865550999999996</v>
      </c>
      <c r="O83" s="136">
        <v>13.865550999999996</v>
      </c>
      <c r="P83" s="136">
        <v>13.865551000000011</v>
      </c>
      <c r="Q83" s="136">
        <v>13.865550999999982</v>
      </c>
      <c r="R83" s="136">
        <v>13.667325999999974</v>
      </c>
      <c r="S83" s="180">
        <f t="shared" si="54"/>
        <v>69.715886999999995</v>
      </c>
      <c r="T83" s="180">
        <f t="shared" si="65"/>
        <v>166.57651899999996</v>
      </c>
      <c r="U83" s="97"/>
      <c r="V83" s="136">
        <v>13.88124</v>
      </c>
      <c r="W83" s="136">
        <v>13.88124</v>
      </c>
      <c r="X83" s="180">
        <v>13.881240000000002</v>
      </c>
      <c r="Y83" s="180">
        <v>13.881239999999998</v>
      </c>
      <c r="Z83" s="180">
        <v>13.836239999999997</v>
      </c>
      <c r="AA83" s="180"/>
      <c r="AB83" s="180"/>
      <c r="AC83" s="180"/>
      <c r="AD83" s="180"/>
      <c r="AE83" s="180"/>
      <c r="AF83" s="180"/>
      <c r="AG83" s="180"/>
      <c r="AH83" s="180">
        <f t="shared" ref="AH83:AH84" si="71">SUM(V83:AG83)</f>
        <v>69.361199999999997</v>
      </c>
      <c r="AI83" s="97"/>
      <c r="AJ83" s="238"/>
      <c r="AK83" s="238"/>
      <c r="AL83" s="238"/>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40"/>
      <c r="BK83" s="240"/>
      <c r="BL83" s="422"/>
    </row>
    <row r="84" spans="2:64" s="183" customFormat="1" ht="25.5" customHeight="1">
      <c r="B84" s="182"/>
      <c r="C84" s="1049" t="str">
        <f>IF(Indice_index!$Z$1=1,C151,C152)</f>
        <v>Payments made by the Resolution Fund to Novo Banco under the contingent capitalization agreement signed in october 2017 by the two parties.</v>
      </c>
      <c r="D84" s="1201" t="str">
        <f>IF(Indice_index!$Z$1=1,"Despesa","Expenditure")</f>
        <v>Expenditure</v>
      </c>
      <c r="E84" s="136" t="s">
        <v>38</v>
      </c>
      <c r="F84" s="97"/>
      <c r="G84" s="136"/>
      <c r="H84" s="136"/>
      <c r="I84" s="136"/>
      <c r="J84" s="136"/>
      <c r="K84" s="136"/>
      <c r="L84" s="136">
        <v>317.012629</v>
      </c>
      <c r="M84" s="136"/>
      <c r="N84" s="136"/>
      <c r="O84" s="136"/>
      <c r="P84" s="136"/>
      <c r="Q84" s="136"/>
      <c r="R84" s="136">
        <v>112</v>
      </c>
      <c r="S84" s="180">
        <f t="shared" si="54"/>
        <v>0</v>
      </c>
      <c r="T84" s="180">
        <f t="shared" si="65"/>
        <v>429.012629</v>
      </c>
      <c r="U84" s="97"/>
      <c r="V84" s="136"/>
      <c r="W84" s="136"/>
      <c r="X84" s="180"/>
      <c r="Y84" s="180"/>
      <c r="Z84" s="180"/>
      <c r="AA84" s="180"/>
      <c r="AB84" s="180"/>
      <c r="AC84" s="180"/>
      <c r="AD84" s="180"/>
      <c r="AE84" s="180"/>
      <c r="AF84" s="180"/>
      <c r="AG84" s="180"/>
      <c r="AH84" s="180">
        <f t="shared" si="71"/>
        <v>0</v>
      </c>
      <c r="AI84" s="97"/>
      <c r="AJ84" s="238"/>
      <c r="AK84" s="238"/>
      <c r="AL84" s="238"/>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40"/>
      <c r="BK84" s="240"/>
      <c r="BL84" s="422"/>
    </row>
    <row r="85" spans="2:64" s="183" customFormat="1" ht="21.75" customHeight="1">
      <c r="B85" s="182"/>
      <c r="C85" s="1368" t="str">
        <f>IF(Indice_index!$Z$1=1,"Fundo Sustentabilidade Sistémica do Setor Energético - Redução dívida tarifária do Sistema Elétrico Nacional","Fund for the Systemic Sustainability of the Energetic Sector - Reduction in the National Electricity System’s tariffs debt")</f>
        <v>Fund for the Systemic Sustainability of the Energetic Sector - Reduction in the National Electricity System’s tariffs debt</v>
      </c>
      <c r="D85" s="1369" t="str">
        <f>IF(Indice_index!$Z$1=1,"Despesa","Expenditure")</f>
        <v>Expenditure</v>
      </c>
      <c r="E85" s="804" t="s">
        <v>38</v>
      </c>
      <c r="F85" s="1370"/>
      <c r="G85" s="804"/>
      <c r="H85" s="804"/>
      <c r="I85" s="804"/>
      <c r="J85" s="804"/>
      <c r="K85" s="804"/>
      <c r="L85" s="804"/>
      <c r="M85" s="804"/>
      <c r="N85" s="804"/>
      <c r="O85" s="804"/>
      <c r="P85" s="804"/>
      <c r="Q85" s="804">
        <v>21.777260999999999</v>
      </c>
      <c r="R85" s="804">
        <v>112.65037024</v>
      </c>
      <c r="S85" s="1371">
        <f t="shared" si="54"/>
        <v>0</v>
      </c>
      <c r="T85" s="1371">
        <f>SUM(G85:R85)</f>
        <v>134.42763124000001</v>
      </c>
      <c r="U85" s="1370"/>
      <c r="V85" s="804"/>
      <c r="W85" s="804"/>
      <c r="X85" s="1371"/>
      <c r="Y85" s="1371"/>
      <c r="Z85" s="1371"/>
      <c r="AA85" s="1371"/>
      <c r="AB85" s="1371"/>
      <c r="AC85" s="1371"/>
      <c r="AD85" s="1371"/>
      <c r="AE85" s="1371"/>
      <c r="AF85" s="1371"/>
      <c r="AG85" s="1371"/>
      <c r="AH85" s="1371">
        <f t="shared" si="59"/>
        <v>0</v>
      </c>
      <c r="AI85" s="97"/>
      <c r="AJ85" s="238"/>
      <c r="AK85" s="238"/>
      <c r="AL85" s="238"/>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40"/>
      <c r="BK85" s="240"/>
      <c r="BL85" s="422"/>
    </row>
    <row r="86" spans="2:64" s="183" customFormat="1" ht="4.5" customHeight="1">
      <c r="B86" s="182"/>
      <c r="C86" s="1049"/>
      <c r="D86" s="1201"/>
      <c r="E86" s="136"/>
      <c r="F86" s="112"/>
      <c r="G86" s="136"/>
      <c r="H86" s="136"/>
      <c r="I86" s="136"/>
      <c r="J86" s="136"/>
      <c r="K86" s="136"/>
      <c r="L86" s="136"/>
      <c r="M86" s="136"/>
      <c r="N86" s="136"/>
      <c r="O86" s="136"/>
      <c r="P86" s="136"/>
      <c r="Q86" s="136"/>
      <c r="R86" s="136"/>
      <c r="S86" s="180"/>
      <c r="T86" s="180"/>
      <c r="U86" s="112"/>
      <c r="V86" s="136"/>
      <c r="W86" s="136"/>
      <c r="X86" s="180"/>
      <c r="Y86" s="180"/>
      <c r="Z86" s="180"/>
      <c r="AA86" s="180"/>
      <c r="AB86" s="180"/>
      <c r="AC86" s="180"/>
      <c r="AD86" s="180"/>
      <c r="AE86" s="180"/>
      <c r="AF86" s="180"/>
      <c r="AG86" s="180"/>
      <c r="AH86" s="180"/>
      <c r="AI86" s="97"/>
      <c r="AJ86" s="238"/>
      <c r="AK86" s="238"/>
      <c r="AL86" s="238"/>
      <c r="AM86" s="239"/>
      <c r="AN86" s="239"/>
      <c r="AO86" s="239"/>
      <c r="AP86" s="239"/>
      <c r="AQ86" s="239"/>
      <c r="AR86" s="239"/>
      <c r="AS86" s="239"/>
      <c r="AT86" s="239"/>
      <c r="AU86" s="239"/>
      <c r="AV86" s="239"/>
      <c r="AW86" s="239"/>
      <c r="AX86" s="239"/>
      <c r="AY86" s="239"/>
      <c r="AZ86" s="239"/>
      <c r="BA86" s="239"/>
      <c r="BB86" s="239"/>
      <c r="BC86" s="239"/>
      <c r="BD86" s="239"/>
      <c r="BE86" s="239"/>
      <c r="BF86" s="239"/>
      <c r="BG86" s="239"/>
      <c r="BH86" s="239"/>
      <c r="BI86" s="239"/>
      <c r="BJ86" s="240"/>
      <c r="BK86" s="240"/>
      <c r="BL86" s="422"/>
    </row>
    <row r="87" spans="2:64" s="181" customFormat="1" ht="22.5" customHeight="1">
      <c r="B87" s="178"/>
      <c r="C87" s="1766" t="str">
        <f>IF(Indice_index!$Z$1=1,C154,C155)</f>
        <v>(a) The values identified in this item correspond to those recorded by the NHS' entities in the information systems that support the budget execution monitoring. Negative monthly values derive from accumulated amounts lower than those of the previous month recorded by the entities.</v>
      </c>
      <c r="D87" s="1766"/>
      <c r="E87" s="1766"/>
      <c r="F87" s="1766"/>
      <c r="G87" s="1766"/>
      <c r="H87" s="1766"/>
      <c r="I87" s="1766"/>
      <c r="J87" s="1766"/>
      <c r="K87" s="1766"/>
      <c r="L87" s="1766"/>
      <c r="M87" s="1766"/>
      <c r="N87" s="1766"/>
      <c r="O87" s="1766"/>
      <c r="P87" s="1766"/>
      <c r="Q87" s="1766"/>
      <c r="R87" s="1766"/>
      <c r="S87" s="1766"/>
      <c r="T87" s="1766"/>
      <c r="U87" s="1766"/>
      <c r="V87" s="1766"/>
      <c r="W87" s="1766"/>
      <c r="X87" s="1766"/>
      <c r="Y87" s="1766"/>
      <c r="Z87" s="1766"/>
      <c r="AA87" s="1766"/>
      <c r="AB87" s="1766"/>
      <c r="AC87" s="1766"/>
      <c r="AD87" s="1766"/>
      <c r="AE87" s="1766"/>
      <c r="AF87" s="1766"/>
      <c r="AG87" s="1766"/>
      <c r="AH87" s="1766"/>
      <c r="AI87" s="97"/>
      <c r="AJ87" s="238"/>
      <c r="AK87" s="238"/>
      <c r="AL87" s="238"/>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4"/>
      <c r="BK87" s="234"/>
      <c r="BL87" s="422"/>
    </row>
    <row r="88" spans="2:64" s="181" customFormat="1" ht="4.5" customHeight="1">
      <c r="B88" s="178"/>
      <c r="C88" s="1372"/>
      <c r="D88" s="1372"/>
      <c r="E88" s="1372"/>
      <c r="F88" s="1372"/>
      <c r="G88" s="1372"/>
      <c r="H88" s="1372"/>
      <c r="I88" s="1372"/>
      <c r="J88" s="1372"/>
      <c r="K88" s="1372"/>
      <c r="L88" s="1372"/>
      <c r="M88" s="1372"/>
      <c r="N88" s="1372"/>
      <c r="O88" s="1372"/>
      <c r="P88" s="1372"/>
      <c r="Q88" s="1372"/>
      <c r="R88" s="1372"/>
      <c r="S88" s="1372"/>
      <c r="T88" s="1372"/>
      <c r="U88" s="1372"/>
      <c r="V88" s="1372"/>
      <c r="W88" s="1372"/>
      <c r="X88" s="1372"/>
      <c r="Y88" s="1372"/>
      <c r="Z88" s="1372"/>
      <c r="AA88" s="1372"/>
      <c r="AB88" s="1372"/>
      <c r="AC88" s="1372"/>
      <c r="AD88" s="1372"/>
      <c r="AE88" s="1372"/>
      <c r="AF88" s="1372"/>
      <c r="AG88" s="1372"/>
      <c r="AH88" s="1372"/>
      <c r="AI88" s="97"/>
      <c r="AJ88" s="238"/>
      <c r="AK88" s="238"/>
      <c r="AL88" s="238"/>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4"/>
      <c r="BK88" s="234"/>
      <c r="BL88" s="422"/>
    </row>
    <row r="89" spans="2:64" s="181" customFormat="1" ht="15" customHeight="1">
      <c r="C89" s="1373" t="str">
        <f>IF(Indice_index!$Z$1=1,"Notas:","Notes:")</f>
        <v>Notes:</v>
      </c>
      <c r="D89" s="1374"/>
      <c r="E89" s="1375"/>
      <c r="F89" s="97"/>
      <c r="G89" s="1374"/>
      <c r="H89" s="1374"/>
      <c r="U89" s="97"/>
      <c r="V89" s="1374"/>
      <c r="W89" s="1374"/>
      <c r="AI89" s="97"/>
      <c r="AJ89" s="238"/>
      <c r="AK89" s="238"/>
      <c r="AL89" s="238"/>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4"/>
      <c r="BK89" s="234"/>
      <c r="BL89" s="422"/>
    </row>
    <row r="90" spans="2:64" s="181" customFormat="1" ht="15" customHeight="1">
      <c r="C90" s="1374"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The signal shows the effect that each fact had in revenue or in expenditure, within the Central Government and Social Security Account. Therefore:</v>
      </c>
      <c r="E90" s="1376"/>
      <c r="F90" s="97"/>
      <c r="J90" s="176"/>
      <c r="S90" s="176"/>
      <c r="U90" s="97"/>
      <c r="Y90" s="176"/>
      <c r="AI90" s="97"/>
      <c r="AJ90" s="238"/>
      <c r="AK90" s="238"/>
      <c r="AL90" s="238"/>
      <c r="AM90" s="237"/>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4"/>
      <c r="BK90" s="234"/>
      <c r="BL90" s="422"/>
    </row>
    <row r="91" spans="2:64" s="181" customFormat="1" ht="15" customHeight="1">
      <c r="C91" s="1377" t="str">
        <f>IF(Indice_index!$Z$1=1,"- Aumentos excecionais de receita são evidenciados com sinal positivo (+) -  têm efeito positivo no saldo;","- Exceptional revenue increases are shown with a positive signal (+) -  they have a positive effect in balance;")</f>
        <v>- Exceptional revenue increases are shown with a positive signal (+) -  they have a positive effect in balance;</v>
      </c>
      <c r="E91" s="1376"/>
      <c r="F91" s="97"/>
      <c r="P91" s="176"/>
      <c r="S91" s="176"/>
      <c r="T91" s="1378"/>
      <c r="U91" s="97"/>
      <c r="AH91" s="1378"/>
      <c r="AI91" s="97"/>
      <c r="AJ91" s="238"/>
      <c r="AK91" s="238"/>
      <c r="AL91" s="238"/>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4"/>
      <c r="BK91" s="234"/>
      <c r="BL91" s="422"/>
    </row>
    <row r="92" spans="2:64" s="181" customFormat="1" ht="15" customHeight="1">
      <c r="C92" s="1377"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Exceptional expenditure increases are shown with a positive signal (+) -  they have a negative effect in balance due to the calculation of balance itself.</v>
      </c>
      <c r="E92" s="1376"/>
      <c r="F92" s="97"/>
      <c r="U92" s="97"/>
      <c r="AI92" s="97"/>
      <c r="AJ92" s="238"/>
      <c r="AK92" s="238"/>
      <c r="AL92" s="238"/>
      <c r="AM92" s="237"/>
      <c r="AN92" s="237"/>
      <c r="AO92" s="237"/>
      <c r="AP92" s="237"/>
      <c r="AQ92" s="237"/>
      <c r="AR92" s="237"/>
      <c r="AS92" s="237"/>
      <c r="AT92" s="237"/>
      <c r="AU92" s="237"/>
      <c r="AV92" s="237"/>
      <c r="AW92" s="237"/>
      <c r="AX92" s="237"/>
      <c r="AY92" s="237"/>
      <c r="AZ92" s="237"/>
      <c r="BA92" s="237"/>
      <c r="BB92" s="237"/>
      <c r="BC92" s="237"/>
      <c r="BD92" s="237"/>
      <c r="BE92" s="237"/>
      <c r="BF92" s="237"/>
      <c r="BG92" s="237"/>
      <c r="BH92" s="237"/>
      <c r="BI92" s="237"/>
      <c r="BJ92" s="234"/>
      <c r="BK92" s="234"/>
      <c r="BL92" s="422"/>
    </row>
    <row r="93" spans="2:64" s="181" customFormat="1" ht="4.5" customHeight="1">
      <c r="C93" s="1377"/>
      <c r="E93" s="1376"/>
      <c r="F93" s="97"/>
      <c r="U93" s="97"/>
      <c r="AI93" s="97"/>
      <c r="AJ93" s="238"/>
      <c r="AK93" s="238"/>
      <c r="AL93" s="238"/>
      <c r="AM93" s="237"/>
      <c r="AN93" s="237"/>
      <c r="AO93" s="237"/>
      <c r="AP93" s="237"/>
      <c r="AQ93" s="237"/>
      <c r="AR93" s="237"/>
      <c r="AS93" s="237"/>
      <c r="AT93" s="237"/>
      <c r="AU93" s="237"/>
      <c r="AV93" s="237"/>
      <c r="AW93" s="237"/>
      <c r="AX93" s="237"/>
      <c r="AY93" s="237"/>
      <c r="AZ93" s="237"/>
      <c r="BA93" s="237"/>
      <c r="BB93" s="237"/>
      <c r="BC93" s="237"/>
      <c r="BD93" s="237"/>
      <c r="BE93" s="237"/>
      <c r="BF93" s="237"/>
      <c r="BG93" s="237"/>
      <c r="BH93" s="237"/>
      <c r="BI93" s="237"/>
      <c r="BJ93" s="234"/>
      <c r="BK93" s="234"/>
      <c r="BL93" s="422"/>
    </row>
    <row r="94" spans="2:64" s="181" customFormat="1" ht="15" customHeight="1">
      <c r="C94" s="650" t="str">
        <f>IF(Indice_index!$Z$1=1,"Fonte: Direção-Geral do Orçamento","Source: Budget General Directorate")</f>
        <v>Source: Budget General Directorate</v>
      </c>
      <c r="E94" s="1376"/>
      <c r="F94" s="97"/>
      <c r="J94" s="176"/>
      <c r="U94" s="97"/>
      <c r="AI94" s="97"/>
      <c r="AJ94" s="238"/>
      <c r="AK94" s="238"/>
      <c r="AL94" s="238"/>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4"/>
      <c r="BK94" s="234"/>
      <c r="BL94" s="422"/>
    </row>
    <row r="95" spans="2:64" s="181" customFormat="1">
      <c r="C95" s="650"/>
      <c r="D95" s="651"/>
      <c r="E95" s="652"/>
      <c r="F95" s="97"/>
      <c r="G95" s="136"/>
      <c r="H95" s="136"/>
      <c r="I95" s="136"/>
      <c r="J95" s="136"/>
      <c r="K95" s="136"/>
      <c r="L95" s="136"/>
      <c r="M95" s="136"/>
      <c r="N95" s="136"/>
      <c r="O95" s="136"/>
      <c r="P95" s="136"/>
      <c r="Q95" s="136"/>
      <c r="R95" s="136"/>
      <c r="S95" s="136"/>
      <c r="T95" s="136"/>
      <c r="U95" s="97"/>
      <c r="V95" s="136"/>
      <c r="W95" s="136"/>
      <c r="X95" s="136"/>
      <c r="Y95" s="136"/>
      <c r="Z95" s="136"/>
      <c r="AA95" s="136"/>
      <c r="AB95" s="136"/>
      <c r="AC95" s="136"/>
      <c r="AD95" s="136"/>
      <c r="AE95" s="136"/>
      <c r="AF95" s="136"/>
      <c r="AG95" s="136"/>
      <c r="AH95" s="136"/>
      <c r="AI95" s="97"/>
      <c r="AJ95" s="238"/>
      <c r="AK95" s="238"/>
      <c r="AL95" s="238"/>
      <c r="AM95" s="237"/>
      <c r="AN95" s="237"/>
      <c r="AO95" s="237"/>
      <c r="AP95" s="237"/>
      <c r="AQ95" s="237"/>
      <c r="AR95" s="237"/>
      <c r="AS95" s="237"/>
      <c r="AT95" s="237"/>
      <c r="AU95" s="237"/>
      <c r="AV95" s="237"/>
      <c r="AW95" s="237"/>
      <c r="AX95" s="237"/>
      <c r="AY95" s="237"/>
      <c r="AZ95" s="237"/>
      <c r="BA95" s="237"/>
      <c r="BB95" s="237"/>
      <c r="BC95" s="237"/>
      <c r="BD95" s="237"/>
      <c r="BE95" s="237"/>
      <c r="BF95" s="237"/>
      <c r="BG95" s="237"/>
      <c r="BH95" s="237"/>
      <c r="BI95" s="237"/>
      <c r="BJ95" s="234"/>
      <c r="BK95" s="234"/>
      <c r="BL95" s="422"/>
    </row>
    <row r="96" spans="2:64" s="615" customFormat="1">
      <c r="D96" s="653"/>
      <c r="E96" s="654"/>
      <c r="F96" s="616"/>
      <c r="G96" s="655">
        <f t="shared" ref="G96:T96" si="72">+G43-G55</f>
        <v>0</v>
      </c>
      <c r="H96" s="655">
        <f t="shared" si="72"/>
        <v>0</v>
      </c>
      <c r="I96" s="655">
        <f t="shared" si="72"/>
        <v>0</v>
      </c>
      <c r="J96" s="655">
        <f t="shared" si="72"/>
        <v>0</v>
      </c>
      <c r="K96" s="655">
        <f t="shared" si="72"/>
        <v>0</v>
      </c>
      <c r="L96" s="655">
        <f t="shared" si="72"/>
        <v>0</v>
      </c>
      <c r="M96" s="655">
        <f t="shared" si="72"/>
        <v>0</v>
      </c>
      <c r="N96" s="655">
        <f t="shared" si="72"/>
        <v>0</v>
      </c>
      <c r="O96" s="655">
        <f t="shared" si="72"/>
        <v>0</v>
      </c>
      <c r="P96" s="655">
        <f t="shared" si="72"/>
        <v>0</v>
      </c>
      <c r="Q96" s="655">
        <f t="shared" si="72"/>
        <v>0</v>
      </c>
      <c r="R96" s="655">
        <f t="shared" si="72"/>
        <v>0</v>
      </c>
      <c r="S96" s="655">
        <f t="shared" si="72"/>
        <v>0</v>
      </c>
      <c r="T96" s="655">
        <f t="shared" si="72"/>
        <v>0</v>
      </c>
      <c r="U96" s="655"/>
      <c r="V96" s="655">
        <f t="shared" ref="V96:AH96" si="73">+V43-V55</f>
        <v>0</v>
      </c>
      <c r="W96" s="655">
        <f t="shared" si="73"/>
        <v>0</v>
      </c>
      <c r="X96" s="655">
        <f t="shared" si="73"/>
        <v>0</v>
      </c>
      <c r="Y96" s="655">
        <f t="shared" si="73"/>
        <v>0</v>
      </c>
      <c r="Z96" s="655">
        <f t="shared" si="73"/>
        <v>0</v>
      </c>
      <c r="AA96" s="655">
        <f t="shared" si="73"/>
        <v>0</v>
      </c>
      <c r="AB96" s="655">
        <f t="shared" si="73"/>
        <v>0</v>
      </c>
      <c r="AC96" s="655">
        <f t="shared" si="73"/>
        <v>0</v>
      </c>
      <c r="AD96" s="655">
        <f t="shared" si="73"/>
        <v>0</v>
      </c>
      <c r="AE96" s="655">
        <f t="shared" si="73"/>
        <v>0</v>
      </c>
      <c r="AF96" s="655">
        <f t="shared" si="73"/>
        <v>0</v>
      </c>
      <c r="AG96" s="655">
        <f t="shared" si="73"/>
        <v>0</v>
      </c>
      <c r="AH96" s="655">
        <f t="shared" si="73"/>
        <v>0</v>
      </c>
      <c r="AI96" s="616"/>
      <c r="AJ96" s="616"/>
      <c r="BL96" s="617"/>
    </row>
    <row r="97" spans="3:64" s="615" customFormat="1">
      <c r="E97" s="618"/>
      <c r="F97" s="616"/>
      <c r="G97" s="615">
        <f t="shared" ref="G97:T97" si="74">SUM(G56:G70)-SUM(G71:G85)-G43</f>
        <v>0</v>
      </c>
      <c r="H97" s="615">
        <f t="shared" si="74"/>
        <v>0</v>
      </c>
      <c r="I97" s="615">
        <f t="shared" si="74"/>
        <v>0</v>
      </c>
      <c r="J97" s="615">
        <f t="shared" si="74"/>
        <v>0</v>
      </c>
      <c r="K97" s="615">
        <f t="shared" si="74"/>
        <v>0</v>
      </c>
      <c r="L97" s="615">
        <f t="shared" si="74"/>
        <v>0</v>
      </c>
      <c r="M97" s="615">
        <f t="shared" si="74"/>
        <v>0</v>
      </c>
      <c r="N97" s="615">
        <f t="shared" si="74"/>
        <v>0</v>
      </c>
      <c r="O97" s="615">
        <f t="shared" si="74"/>
        <v>0</v>
      </c>
      <c r="P97" s="615">
        <f t="shared" si="74"/>
        <v>0</v>
      </c>
      <c r="Q97" s="615">
        <f t="shared" si="74"/>
        <v>0</v>
      </c>
      <c r="R97" s="615">
        <f t="shared" si="74"/>
        <v>0</v>
      </c>
      <c r="S97" s="615">
        <f t="shared" si="74"/>
        <v>0</v>
      </c>
      <c r="T97" s="615">
        <f t="shared" si="74"/>
        <v>0</v>
      </c>
      <c r="V97" s="615">
        <f t="shared" ref="V97:AH97" si="75">SUM(V56:V70)-SUM(V71:V85)-V43</f>
        <v>0</v>
      </c>
      <c r="W97" s="615">
        <f t="shared" si="75"/>
        <v>0</v>
      </c>
      <c r="X97" s="615">
        <f t="shared" si="75"/>
        <v>0</v>
      </c>
      <c r="Y97" s="615">
        <f t="shared" si="75"/>
        <v>0</v>
      </c>
      <c r="Z97" s="615">
        <f t="shared" si="75"/>
        <v>0</v>
      </c>
      <c r="AA97" s="615">
        <f t="shared" si="75"/>
        <v>0</v>
      </c>
      <c r="AB97" s="615">
        <f t="shared" si="75"/>
        <v>0</v>
      </c>
      <c r="AC97" s="615">
        <f t="shared" si="75"/>
        <v>0</v>
      </c>
      <c r="AD97" s="615">
        <f t="shared" si="75"/>
        <v>0</v>
      </c>
      <c r="AE97" s="615">
        <f t="shared" si="75"/>
        <v>0</v>
      </c>
      <c r="AF97" s="615">
        <f t="shared" si="75"/>
        <v>0</v>
      </c>
      <c r="AG97" s="615">
        <f t="shared" si="75"/>
        <v>0</v>
      </c>
      <c r="AH97" s="615">
        <f t="shared" si="75"/>
        <v>0</v>
      </c>
      <c r="AI97" s="616"/>
      <c r="AJ97" s="616"/>
      <c r="BL97" s="617"/>
    </row>
    <row r="98" spans="3:64" s="619" customFormat="1">
      <c r="E98" s="620"/>
      <c r="F98" s="621"/>
      <c r="G98" s="615">
        <f t="shared" ref="G98:T98" si="76">SUM(G56:G70)-G23</f>
        <v>0</v>
      </c>
      <c r="H98" s="615">
        <f t="shared" si="76"/>
        <v>0</v>
      </c>
      <c r="I98" s="615">
        <f t="shared" si="76"/>
        <v>0</v>
      </c>
      <c r="J98" s="615">
        <f t="shared" si="76"/>
        <v>0</v>
      </c>
      <c r="K98" s="615">
        <f t="shared" si="76"/>
        <v>0</v>
      </c>
      <c r="L98" s="615">
        <f t="shared" si="76"/>
        <v>0</v>
      </c>
      <c r="M98" s="615">
        <f t="shared" si="76"/>
        <v>0</v>
      </c>
      <c r="N98" s="615">
        <f t="shared" si="76"/>
        <v>0</v>
      </c>
      <c r="O98" s="615">
        <f t="shared" si="76"/>
        <v>0</v>
      </c>
      <c r="P98" s="615">
        <f t="shared" si="76"/>
        <v>0</v>
      </c>
      <c r="Q98" s="615">
        <f t="shared" si="76"/>
        <v>0</v>
      </c>
      <c r="R98" s="615">
        <f t="shared" si="76"/>
        <v>0</v>
      </c>
      <c r="S98" s="615">
        <f t="shared" si="76"/>
        <v>0</v>
      </c>
      <c r="T98" s="615">
        <f t="shared" si="76"/>
        <v>0</v>
      </c>
      <c r="U98" s="615"/>
      <c r="V98" s="615">
        <f t="shared" ref="V98:AH98" si="77">SUM(V56:V70)-V23</f>
        <v>0</v>
      </c>
      <c r="W98" s="615">
        <f t="shared" si="77"/>
        <v>0</v>
      </c>
      <c r="X98" s="615">
        <f t="shared" si="77"/>
        <v>0</v>
      </c>
      <c r="Y98" s="615">
        <f t="shared" si="77"/>
        <v>0</v>
      </c>
      <c r="Z98" s="615">
        <f t="shared" si="77"/>
        <v>0</v>
      </c>
      <c r="AA98" s="615">
        <f t="shared" si="77"/>
        <v>0</v>
      </c>
      <c r="AB98" s="615">
        <f t="shared" si="77"/>
        <v>0</v>
      </c>
      <c r="AC98" s="615">
        <f t="shared" si="77"/>
        <v>0</v>
      </c>
      <c r="AD98" s="615">
        <f t="shared" si="77"/>
        <v>0</v>
      </c>
      <c r="AE98" s="615">
        <f t="shared" si="77"/>
        <v>0</v>
      </c>
      <c r="AF98" s="615">
        <f t="shared" si="77"/>
        <v>0</v>
      </c>
      <c r="AG98" s="615">
        <f t="shared" si="77"/>
        <v>0</v>
      </c>
      <c r="AH98" s="615">
        <f t="shared" si="77"/>
        <v>0</v>
      </c>
      <c r="AI98" s="621"/>
      <c r="AJ98" s="616"/>
      <c r="AK98" s="615"/>
      <c r="AL98" s="615"/>
      <c r="AM98" s="615"/>
      <c r="AN98" s="615"/>
      <c r="AO98" s="615"/>
      <c r="AP98" s="615"/>
      <c r="AQ98" s="615"/>
      <c r="AR98" s="615"/>
      <c r="AS98" s="615"/>
      <c r="AT98" s="615"/>
      <c r="AU98" s="615"/>
      <c r="AV98" s="615"/>
      <c r="AW98" s="615"/>
      <c r="AX98" s="615"/>
      <c r="AY98" s="615"/>
      <c r="AZ98" s="615"/>
      <c r="BA98" s="615"/>
      <c r="BB98" s="615"/>
      <c r="BC98" s="615"/>
      <c r="BD98" s="615"/>
      <c r="BE98" s="615"/>
      <c r="BF98" s="615"/>
      <c r="BG98" s="615"/>
      <c r="BH98" s="615"/>
      <c r="BI98" s="615"/>
      <c r="BJ98" s="615"/>
      <c r="BK98" s="615"/>
      <c r="BL98" s="617"/>
    </row>
    <row r="99" spans="3:64" s="619" customFormat="1">
      <c r="E99" s="620"/>
      <c r="F99" s="621"/>
      <c r="G99" s="615">
        <f t="shared" ref="G99:T99" si="78">SUM(G71:G85)-G41</f>
        <v>0</v>
      </c>
      <c r="H99" s="615">
        <f t="shared" si="78"/>
        <v>0</v>
      </c>
      <c r="I99" s="615">
        <f t="shared" si="78"/>
        <v>0</v>
      </c>
      <c r="J99" s="615">
        <f t="shared" si="78"/>
        <v>0</v>
      </c>
      <c r="K99" s="615">
        <f t="shared" si="78"/>
        <v>0</v>
      </c>
      <c r="L99" s="615">
        <f t="shared" si="78"/>
        <v>0</v>
      </c>
      <c r="M99" s="615">
        <f t="shared" si="78"/>
        <v>0</v>
      </c>
      <c r="N99" s="615">
        <f t="shared" si="78"/>
        <v>0</v>
      </c>
      <c r="O99" s="615">
        <f t="shared" si="78"/>
        <v>0</v>
      </c>
      <c r="P99" s="615">
        <f t="shared" si="78"/>
        <v>0</v>
      </c>
      <c r="Q99" s="615">
        <f t="shared" si="78"/>
        <v>0</v>
      </c>
      <c r="R99" s="615">
        <f t="shared" si="78"/>
        <v>0</v>
      </c>
      <c r="S99" s="615">
        <f t="shared" si="78"/>
        <v>0</v>
      </c>
      <c r="T99" s="615">
        <f t="shared" si="78"/>
        <v>0</v>
      </c>
      <c r="U99" s="615"/>
      <c r="V99" s="615">
        <f t="shared" ref="V99:AH99" si="79">SUM(V71:V85)-V41</f>
        <v>0</v>
      </c>
      <c r="W99" s="615">
        <f t="shared" si="79"/>
        <v>0</v>
      </c>
      <c r="X99" s="615">
        <f t="shared" si="79"/>
        <v>0</v>
      </c>
      <c r="Y99" s="615">
        <f t="shared" si="79"/>
        <v>0</v>
      </c>
      <c r="Z99" s="615">
        <f t="shared" si="79"/>
        <v>0</v>
      </c>
      <c r="AA99" s="615">
        <f t="shared" si="79"/>
        <v>0</v>
      </c>
      <c r="AB99" s="615">
        <f t="shared" si="79"/>
        <v>0</v>
      </c>
      <c r="AC99" s="615">
        <f t="shared" si="79"/>
        <v>0</v>
      </c>
      <c r="AD99" s="615">
        <f t="shared" si="79"/>
        <v>0</v>
      </c>
      <c r="AE99" s="615">
        <f t="shared" si="79"/>
        <v>0</v>
      </c>
      <c r="AF99" s="615">
        <f t="shared" si="79"/>
        <v>0</v>
      </c>
      <c r="AG99" s="615">
        <f t="shared" si="79"/>
        <v>0</v>
      </c>
      <c r="AH99" s="615">
        <f t="shared" si="79"/>
        <v>0</v>
      </c>
      <c r="AI99" s="621"/>
      <c r="AJ99" s="616"/>
      <c r="AK99" s="615"/>
      <c r="AL99" s="615"/>
      <c r="AM99" s="615"/>
      <c r="AN99" s="615"/>
      <c r="AO99" s="615"/>
      <c r="AP99" s="615"/>
      <c r="AQ99" s="615"/>
      <c r="AR99" s="615"/>
      <c r="AS99" s="615"/>
      <c r="AT99" s="615"/>
      <c r="AU99" s="615"/>
      <c r="AV99" s="615"/>
      <c r="AW99" s="615"/>
      <c r="AX99" s="615"/>
      <c r="AY99" s="615"/>
      <c r="AZ99" s="615"/>
      <c r="BA99" s="615"/>
      <c r="BB99" s="615"/>
      <c r="BC99" s="615"/>
      <c r="BD99" s="615"/>
      <c r="BE99" s="615"/>
      <c r="BF99" s="615"/>
      <c r="BG99" s="615"/>
      <c r="BH99" s="615"/>
      <c r="BI99" s="615"/>
      <c r="BJ99" s="615"/>
      <c r="BK99" s="615"/>
      <c r="BL99" s="617"/>
    </row>
    <row r="100" spans="3:64" s="622" customFormat="1">
      <c r="D100" s="623"/>
      <c r="E100" s="620"/>
      <c r="F100" s="621"/>
      <c r="G100" s="624"/>
      <c r="H100" s="624"/>
      <c r="I100" s="624"/>
      <c r="J100" s="624"/>
      <c r="K100" s="624"/>
      <c r="L100" s="624"/>
      <c r="M100" s="624"/>
      <c r="N100" s="624"/>
      <c r="O100" s="624"/>
      <c r="P100" s="624"/>
      <c r="Q100" s="624"/>
      <c r="R100" s="624"/>
      <c r="S100" s="624"/>
      <c r="T100" s="624"/>
      <c r="U100" s="621"/>
      <c r="V100" s="624"/>
      <c r="W100" s="624"/>
      <c r="X100" s="624"/>
      <c r="Y100" s="624"/>
      <c r="Z100" s="624"/>
      <c r="AA100" s="624"/>
      <c r="AB100" s="624"/>
      <c r="AC100" s="624"/>
      <c r="AD100" s="624"/>
      <c r="AE100" s="624"/>
      <c r="AF100" s="624"/>
      <c r="AG100" s="624"/>
      <c r="AH100" s="624"/>
      <c r="AI100" s="621"/>
      <c r="AJ100" s="616"/>
      <c r="AK100" s="615"/>
      <c r="AL100" s="615"/>
      <c r="AM100" s="615"/>
      <c r="AN100" s="615"/>
      <c r="AO100" s="615"/>
      <c r="AP100" s="615"/>
      <c r="AR100" s="615"/>
      <c r="AS100" s="615"/>
      <c r="AT100" s="615"/>
      <c r="AU100" s="615"/>
      <c r="AV100" s="615"/>
      <c r="AW100" s="615"/>
      <c r="AX100" s="615"/>
      <c r="AY100" s="615"/>
      <c r="AZ100" s="615"/>
      <c r="BA100" s="615"/>
      <c r="BB100" s="615"/>
      <c r="BC100" s="615"/>
      <c r="BD100" s="615"/>
      <c r="BE100" s="615"/>
      <c r="BF100" s="615"/>
      <c r="BG100" s="615"/>
      <c r="BH100" s="615"/>
      <c r="BI100" s="615"/>
      <c r="BJ100" s="615"/>
      <c r="BK100" s="615"/>
      <c r="BL100" s="617"/>
    </row>
    <row r="101" spans="3:64" s="622" customFormat="1" ht="6" customHeight="1">
      <c r="C101" s="625"/>
      <c r="D101" s="623"/>
      <c r="E101" s="624"/>
      <c r="F101" s="624"/>
      <c r="G101" s="624"/>
      <c r="H101" s="624"/>
      <c r="I101" s="624"/>
      <c r="J101" s="624"/>
      <c r="K101" s="624"/>
      <c r="L101" s="624"/>
      <c r="M101" s="624"/>
      <c r="N101" s="624"/>
      <c r="O101" s="624"/>
      <c r="P101" s="624"/>
      <c r="Q101" s="624"/>
      <c r="R101" s="624"/>
      <c r="S101" s="624"/>
      <c r="T101" s="624"/>
      <c r="U101" s="624"/>
      <c r="V101" s="624"/>
      <c r="W101" s="624"/>
      <c r="X101" s="624"/>
      <c r="Y101" s="624"/>
      <c r="Z101" s="624"/>
      <c r="AA101" s="624"/>
      <c r="AB101" s="624"/>
      <c r="AC101" s="624"/>
      <c r="AD101" s="624"/>
      <c r="AE101" s="624"/>
      <c r="AF101" s="624"/>
      <c r="AG101" s="624"/>
      <c r="AH101" s="624"/>
      <c r="AI101" s="621"/>
      <c r="AJ101" s="616"/>
      <c r="AK101" s="615"/>
      <c r="AL101" s="615"/>
      <c r="AM101" s="615"/>
      <c r="AN101" s="615"/>
      <c r="AO101" s="615"/>
      <c r="AP101" s="615"/>
      <c r="AR101" s="615"/>
      <c r="AS101" s="615"/>
      <c r="AT101" s="615"/>
      <c r="AU101" s="615"/>
      <c r="AV101" s="615"/>
      <c r="AW101" s="615"/>
      <c r="AX101" s="615"/>
      <c r="AY101" s="615"/>
      <c r="AZ101" s="615"/>
      <c r="BA101" s="615"/>
      <c r="BB101" s="615"/>
      <c r="BC101" s="615"/>
      <c r="BD101" s="615"/>
      <c r="BE101" s="615"/>
      <c r="BF101" s="615"/>
      <c r="BG101" s="615"/>
      <c r="BH101" s="615"/>
      <c r="BI101" s="615"/>
      <c r="BJ101" s="615"/>
      <c r="BK101" s="615"/>
      <c r="BL101" s="617"/>
    </row>
    <row r="102" spans="3:64" s="622" customFormat="1">
      <c r="C102" s="622" t="s">
        <v>17</v>
      </c>
      <c r="D102" s="623"/>
      <c r="E102" s="624"/>
      <c r="F102" s="624"/>
      <c r="G102" s="624"/>
      <c r="H102" s="624"/>
      <c r="I102" s="624"/>
      <c r="J102" s="624"/>
      <c r="K102" s="624"/>
      <c r="L102" s="624"/>
      <c r="M102" s="624"/>
      <c r="N102" s="624"/>
      <c r="O102" s="624"/>
      <c r="P102" s="624"/>
      <c r="Q102" s="624"/>
      <c r="R102" s="624"/>
      <c r="S102" s="624"/>
      <c r="T102" s="624"/>
      <c r="U102" s="624"/>
      <c r="V102" s="624"/>
      <c r="W102" s="624"/>
      <c r="X102" s="624"/>
      <c r="Y102" s="624"/>
      <c r="Z102" s="624"/>
      <c r="AA102" s="624"/>
      <c r="AB102" s="624"/>
      <c r="AC102" s="624"/>
      <c r="AD102" s="624"/>
      <c r="AE102" s="624"/>
      <c r="AF102" s="624"/>
      <c r="AG102" s="624"/>
      <c r="AH102" s="624"/>
      <c r="AI102" s="621"/>
      <c r="AJ102" s="616"/>
      <c r="AK102" s="615"/>
      <c r="AL102" s="615"/>
      <c r="AM102" s="615"/>
      <c r="AN102" s="615"/>
      <c r="AO102" s="615"/>
      <c r="AP102" s="615"/>
      <c r="AR102" s="615"/>
      <c r="AS102" s="615"/>
      <c r="AT102" s="615"/>
      <c r="AU102" s="615"/>
      <c r="AV102" s="615"/>
      <c r="AW102" s="615"/>
      <c r="AX102" s="615"/>
      <c r="AY102" s="615"/>
      <c r="AZ102" s="615"/>
      <c r="BA102" s="615"/>
      <c r="BB102" s="615"/>
      <c r="BC102" s="615"/>
      <c r="BD102" s="615"/>
      <c r="BE102" s="615"/>
      <c r="BF102" s="615"/>
      <c r="BG102" s="615"/>
      <c r="BH102" s="615"/>
      <c r="BI102" s="615"/>
      <c r="BJ102" s="615"/>
      <c r="BK102" s="615"/>
      <c r="BL102" s="617"/>
    </row>
    <row r="103" spans="3:64" s="622" customFormat="1">
      <c r="C103" s="622" t="s">
        <v>18</v>
      </c>
      <c r="D103" s="623"/>
      <c r="E103" s="624"/>
      <c r="F103" s="624"/>
      <c r="G103" s="624"/>
      <c r="H103" s="624"/>
      <c r="I103" s="624"/>
      <c r="J103" s="624"/>
      <c r="K103" s="624"/>
      <c r="L103" s="624"/>
      <c r="M103" s="624"/>
      <c r="N103" s="624"/>
      <c r="O103" s="624"/>
      <c r="P103" s="624"/>
      <c r="Q103" s="624"/>
      <c r="R103" s="624"/>
      <c r="S103" s="624"/>
      <c r="T103" s="624"/>
      <c r="U103" s="624"/>
      <c r="V103" s="624"/>
      <c r="W103" s="624"/>
      <c r="X103" s="624"/>
      <c r="Y103" s="624"/>
      <c r="Z103" s="624"/>
      <c r="AA103" s="624"/>
      <c r="AB103" s="624"/>
      <c r="AC103" s="624"/>
      <c r="AD103" s="624"/>
      <c r="AE103" s="624"/>
      <c r="AF103" s="624"/>
      <c r="AG103" s="624"/>
      <c r="AH103" s="624"/>
      <c r="AI103" s="621"/>
      <c r="AJ103" s="616"/>
      <c r="AK103" s="615"/>
      <c r="AL103" s="615"/>
      <c r="AM103" s="615"/>
      <c r="AN103" s="615"/>
      <c r="AO103" s="615"/>
      <c r="AP103" s="615"/>
      <c r="AR103" s="615"/>
      <c r="AS103" s="615"/>
      <c r="AT103" s="615"/>
      <c r="AU103" s="615"/>
      <c r="AV103" s="615"/>
      <c r="AW103" s="615"/>
      <c r="AX103" s="615"/>
      <c r="AY103" s="615"/>
      <c r="AZ103" s="615"/>
      <c r="BA103" s="615"/>
      <c r="BB103" s="615"/>
      <c r="BC103" s="615"/>
      <c r="BD103" s="615"/>
      <c r="BE103" s="615"/>
      <c r="BF103" s="615"/>
      <c r="BG103" s="615"/>
      <c r="BH103" s="615"/>
      <c r="BI103" s="615"/>
      <c r="BJ103" s="615"/>
      <c r="BK103" s="615"/>
      <c r="BL103" s="617"/>
    </row>
    <row r="104" spans="3:64" s="622" customFormat="1">
      <c r="C104" s="622" t="s">
        <v>19</v>
      </c>
      <c r="D104" s="623"/>
      <c r="E104" s="624"/>
      <c r="F104" s="624"/>
      <c r="G104" s="624"/>
      <c r="H104" s="624"/>
      <c r="I104" s="624"/>
      <c r="J104" s="624"/>
      <c r="K104" s="624"/>
      <c r="L104" s="624"/>
      <c r="M104" s="624"/>
      <c r="N104" s="624"/>
      <c r="O104" s="624"/>
      <c r="P104" s="624"/>
      <c r="Q104" s="624"/>
      <c r="R104" s="624"/>
      <c r="S104" s="624"/>
      <c r="T104" s="624"/>
      <c r="U104" s="624"/>
      <c r="V104" s="624"/>
      <c r="W104" s="624"/>
      <c r="X104" s="624"/>
      <c r="Y104" s="624"/>
      <c r="Z104" s="624"/>
      <c r="AA104" s="624"/>
      <c r="AB104" s="624"/>
      <c r="AC104" s="624"/>
      <c r="AD104" s="624"/>
      <c r="AE104" s="624"/>
      <c r="AF104" s="624"/>
      <c r="AG104" s="624"/>
      <c r="AH104" s="624"/>
      <c r="AI104" s="621"/>
      <c r="AJ104" s="616"/>
      <c r="AK104" s="615"/>
      <c r="AL104" s="615"/>
      <c r="AM104" s="615"/>
      <c r="AN104" s="615"/>
      <c r="AO104" s="615"/>
      <c r="AP104" s="615"/>
      <c r="AR104" s="615"/>
      <c r="AS104" s="615"/>
      <c r="AT104" s="615"/>
      <c r="AU104" s="615"/>
      <c r="AV104" s="615"/>
      <c r="AW104" s="615"/>
      <c r="AX104" s="615"/>
      <c r="AY104" s="615"/>
      <c r="AZ104" s="615"/>
      <c r="BA104" s="615"/>
      <c r="BB104" s="615"/>
      <c r="BC104" s="615"/>
      <c r="BD104" s="615"/>
      <c r="BE104" s="615"/>
      <c r="BF104" s="615"/>
      <c r="BG104" s="615"/>
      <c r="BH104" s="615"/>
      <c r="BI104" s="615"/>
      <c r="BJ104" s="615"/>
      <c r="BK104" s="615"/>
      <c r="BL104" s="617"/>
    </row>
    <row r="105" spans="3:64" s="622" customFormat="1">
      <c r="C105" s="622" t="s">
        <v>20</v>
      </c>
      <c r="D105" s="623"/>
      <c r="E105" s="624"/>
      <c r="F105" s="624"/>
      <c r="G105" s="624"/>
      <c r="H105" s="624"/>
      <c r="I105" s="624"/>
      <c r="J105" s="624"/>
      <c r="K105" s="624"/>
      <c r="L105" s="624"/>
      <c r="M105" s="624"/>
      <c r="N105" s="624"/>
      <c r="O105" s="624"/>
      <c r="P105" s="624"/>
      <c r="Q105" s="624"/>
      <c r="R105" s="624"/>
      <c r="S105" s="624"/>
      <c r="T105" s="624"/>
      <c r="U105" s="624"/>
      <c r="V105" s="624"/>
      <c r="W105" s="624"/>
      <c r="X105" s="624"/>
      <c r="Y105" s="624"/>
      <c r="Z105" s="624"/>
      <c r="AA105" s="624"/>
      <c r="AB105" s="624"/>
      <c r="AC105" s="624"/>
      <c r="AD105" s="624"/>
      <c r="AE105" s="624"/>
      <c r="AF105" s="624"/>
      <c r="AG105" s="624"/>
      <c r="AH105" s="624"/>
      <c r="AI105" s="621"/>
      <c r="AJ105" s="616"/>
      <c r="AK105" s="615"/>
      <c r="AL105" s="615"/>
      <c r="AM105" s="615"/>
      <c r="AN105" s="615"/>
      <c r="AO105" s="615"/>
      <c r="AP105" s="615"/>
      <c r="AR105" s="615"/>
      <c r="AS105" s="615"/>
      <c r="AT105" s="615"/>
      <c r="AU105" s="615"/>
      <c r="AV105" s="615"/>
      <c r="AW105" s="615"/>
      <c r="AX105" s="615"/>
      <c r="AY105" s="615"/>
      <c r="AZ105" s="615"/>
      <c r="BA105" s="615"/>
      <c r="BB105" s="615"/>
      <c r="BC105" s="615"/>
      <c r="BD105" s="615"/>
      <c r="BE105" s="615"/>
      <c r="BF105" s="615"/>
      <c r="BG105" s="615"/>
      <c r="BH105" s="615"/>
      <c r="BI105" s="615"/>
      <c r="BJ105" s="615"/>
      <c r="BK105" s="615"/>
      <c r="BL105" s="617"/>
    </row>
    <row r="106" spans="3:64" s="622" customFormat="1">
      <c r="C106" s="622" t="s">
        <v>21</v>
      </c>
      <c r="D106" s="623"/>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1"/>
      <c r="AJ106" s="616"/>
      <c r="AK106" s="615"/>
      <c r="AL106" s="615"/>
      <c r="AM106" s="615"/>
      <c r="AN106" s="615"/>
      <c r="AO106" s="615"/>
      <c r="AP106" s="615"/>
      <c r="AR106" s="615"/>
      <c r="AS106" s="615"/>
      <c r="AT106" s="615"/>
      <c r="AU106" s="615"/>
      <c r="AV106" s="615"/>
      <c r="AW106" s="615"/>
      <c r="AX106" s="615"/>
      <c r="AY106" s="615"/>
      <c r="AZ106" s="615"/>
      <c r="BA106" s="615"/>
      <c r="BB106" s="615"/>
      <c r="BC106" s="615"/>
      <c r="BD106" s="615"/>
      <c r="BE106" s="615"/>
      <c r="BF106" s="615"/>
      <c r="BG106" s="615"/>
      <c r="BH106" s="615"/>
      <c r="BI106" s="615"/>
      <c r="BJ106" s="615"/>
      <c r="BK106" s="615"/>
      <c r="BL106" s="617"/>
    </row>
    <row r="107" spans="3:64" s="622" customFormat="1">
      <c r="C107" s="622" t="s">
        <v>22</v>
      </c>
      <c r="D107" s="623"/>
      <c r="E107" s="624"/>
      <c r="F107" s="624"/>
      <c r="G107" s="624"/>
      <c r="H107" s="624"/>
      <c r="I107" s="624"/>
      <c r="J107" s="624"/>
      <c r="K107" s="624"/>
      <c r="L107" s="624"/>
      <c r="M107" s="624"/>
      <c r="N107" s="624"/>
      <c r="O107" s="624"/>
      <c r="P107" s="624"/>
      <c r="Q107" s="624"/>
      <c r="R107" s="624"/>
      <c r="S107" s="624"/>
      <c r="T107" s="624"/>
      <c r="U107" s="624"/>
      <c r="V107" s="624"/>
      <c r="W107" s="624"/>
      <c r="X107" s="624"/>
      <c r="Y107" s="624"/>
      <c r="Z107" s="624"/>
      <c r="AA107" s="624"/>
      <c r="AB107" s="624"/>
      <c r="AC107" s="624"/>
      <c r="AD107" s="624"/>
      <c r="AE107" s="624"/>
      <c r="AF107" s="624"/>
      <c r="AG107" s="624"/>
      <c r="AH107" s="624"/>
      <c r="AI107" s="621"/>
      <c r="AJ107" s="616"/>
      <c r="AK107" s="615"/>
      <c r="AL107" s="615"/>
      <c r="AM107" s="615"/>
      <c r="AN107" s="615"/>
      <c r="AO107" s="615"/>
      <c r="AP107" s="615"/>
      <c r="AR107" s="615"/>
      <c r="AS107" s="615"/>
      <c r="AT107" s="615"/>
      <c r="AU107" s="615"/>
      <c r="AV107" s="615"/>
      <c r="AW107" s="615"/>
      <c r="AX107" s="615"/>
      <c r="AY107" s="615"/>
      <c r="AZ107" s="615"/>
      <c r="BA107" s="615"/>
      <c r="BB107" s="615"/>
      <c r="BC107" s="615"/>
      <c r="BD107" s="615"/>
      <c r="BE107" s="615"/>
      <c r="BF107" s="615"/>
      <c r="BG107" s="615"/>
      <c r="BH107" s="615"/>
      <c r="BI107" s="615"/>
      <c r="BJ107" s="615"/>
      <c r="BK107" s="615"/>
      <c r="BL107" s="617"/>
    </row>
    <row r="108" spans="3:64" s="622" customFormat="1">
      <c r="C108" s="622" t="s">
        <v>59</v>
      </c>
      <c r="D108" s="623"/>
      <c r="E108" s="624"/>
      <c r="F108" s="624"/>
      <c r="G108" s="624"/>
      <c r="H108" s="624"/>
      <c r="I108" s="624"/>
      <c r="J108" s="624"/>
      <c r="K108" s="624"/>
      <c r="L108" s="624"/>
      <c r="M108" s="624"/>
      <c r="N108" s="624"/>
      <c r="O108" s="624"/>
      <c r="P108" s="624"/>
      <c r="Q108" s="624"/>
      <c r="R108" s="624"/>
      <c r="S108" s="624"/>
      <c r="T108" s="624"/>
      <c r="U108" s="624"/>
      <c r="V108" s="624"/>
      <c r="W108" s="624"/>
      <c r="X108" s="624"/>
      <c r="Y108" s="624"/>
      <c r="Z108" s="624"/>
      <c r="AA108" s="624"/>
      <c r="AB108" s="624"/>
      <c r="AC108" s="624"/>
      <c r="AD108" s="624"/>
      <c r="AE108" s="624"/>
      <c r="AF108" s="624"/>
      <c r="AG108" s="624"/>
      <c r="AH108" s="624"/>
      <c r="AI108" s="621"/>
      <c r="AJ108" s="616"/>
      <c r="AK108" s="615"/>
      <c r="AL108" s="615"/>
      <c r="AM108" s="615"/>
      <c r="AN108" s="615"/>
      <c r="AO108" s="615"/>
      <c r="AP108" s="615"/>
      <c r="AR108" s="615"/>
      <c r="AS108" s="615"/>
      <c r="AT108" s="615"/>
      <c r="AU108" s="615"/>
      <c r="AV108" s="615"/>
      <c r="AW108" s="615"/>
      <c r="AX108" s="615"/>
      <c r="AY108" s="615"/>
      <c r="AZ108" s="615"/>
      <c r="BA108" s="615"/>
      <c r="BB108" s="615"/>
      <c r="BC108" s="615"/>
      <c r="BD108" s="615"/>
      <c r="BE108" s="615"/>
      <c r="BF108" s="615"/>
      <c r="BG108" s="615"/>
      <c r="BH108" s="615"/>
      <c r="BI108" s="615"/>
      <c r="BJ108" s="615"/>
      <c r="BK108" s="615"/>
      <c r="BL108" s="617"/>
    </row>
    <row r="109" spans="3:64" s="622" customFormat="1">
      <c r="C109" s="622" t="s">
        <v>23</v>
      </c>
      <c r="D109" s="623"/>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1"/>
      <c r="AJ109" s="616"/>
      <c r="AK109" s="615"/>
      <c r="AL109" s="615"/>
      <c r="AM109" s="615"/>
      <c r="AN109" s="615"/>
      <c r="AO109" s="615"/>
      <c r="AP109" s="615"/>
      <c r="AR109" s="615"/>
      <c r="AS109" s="615"/>
      <c r="AT109" s="615"/>
      <c r="AU109" s="615"/>
      <c r="AV109" s="615"/>
      <c r="AW109" s="615"/>
      <c r="AX109" s="615"/>
      <c r="AY109" s="615"/>
      <c r="AZ109" s="615"/>
      <c r="BA109" s="615"/>
      <c r="BB109" s="615"/>
      <c r="BC109" s="615"/>
      <c r="BD109" s="615"/>
      <c r="BE109" s="615"/>
      <c r="BF109" s="615"/>
      <c r="BG109" s="615"/>
      <c r="BH109" s="615"/>
      <c r="BI109" s="615"/>
      <c r="BJ109" s="615"/>
      <c r="BK109" s="615"/>
      <c r="BL109" s="617"/>
    </row>
    <row r="110" spans="3:64" s="622" customFormat="1">
      <c r="C110" s="622" t="s">
        <v>24</v>
      </c>
      <c r="D110" s="623"/>
      <c r="E110" s="624"/>
      <c r="F110" s="624"/>
      <c r="G110" s="624"/>
      <c r="H110" s="624"/>
      <c r="I110" s="624"/>
      <c r="J110" s="624"/>
      <c r="K110" s="624"/>
      <c r="L110" s="624"/>
      <c r="M110" s="624"/>
      <c r="N110" s="624"/>
      <c r="O110" s="624"/>
      <c r="P110" s="624"/>
      <c r="Q110" s="624"/>
      <c r="R110" s="624"/>
      <c r="S110" s="624"/>
      <c r="T110" s="624"/>
      <c r="U110" s="624"/>
      <c r="V110" s="624"/>
      <c r="W110" s="624"/>
      <c r="X110" s="624"/>
      <c r="Y110" s="624"/>
      <c r="Z110" s="624"/>
      <c r="AA110" s="624"/>
      <c r="AB110" s="624"/>
      <c r="AC110" s="624"/>
      <c r="AD110" s="624"/>
      <c r="AE110" s="624"/>
      <c r="AF110" s="624"/>
      <c r="AG110" s="624"/>
      <c r="AH110" s="624"/>
      <c r="AI110" s="621"/>
      <c r="AJ110" s="616"/>
      <c r="AK110" s="615"/>
      <c r="AL110" s="615"/>
      <c r="AM110" s="615"/>
      <c r="AN110" s="615"/>
      <c r="AO110" s="615"/>
      <c r="AP110" s="615"/>
      <c r="AR110" s="615"/>
      <c r="AS110" s="615"/>
      <c r="AT110" s="615"/>
      <c r="AU110" s="615"/>
      <c r="AV110" s="615"/>
      <c r="AW110" s="615"/>
      <c r="AX110" s="615"/>
      <c r="AY110" s="615"/>
      <c r="AZ110" s="615"/>
      <c r="BA110" s="615"/>
      <c r="BB110" s="615"/>
      <c r="BC110" s="615"/>
      <c r="BD110" s="615"/>
      <c r="BE110" s="615"/>
      <c r="BF110" s="615"/>
      <c r="BG110" s="615"/>
      <c r="BH110" s="615"/>
      <c r="BI110" s="615"/>
      <c r="BJ110" s="615"/>
      <c r="BK110" s="615"/>
      <c r="BL110" s="617"/>
    </row>
    <row r="111" spans="3:64" s="622" customFormat="1">
      <c r="C111" s="622" t="s">
        <v>25</v>
      </c>
      <c r="D111" s="623"/>
      <c r="E111" s="624"/>
      <c r="F111" s="624"/>
      <c r="G111" s="624"/>
      <c r="H111" s="624"/>
      <c r="I111" s="624"/>
      <c r="J111" s="624"/>
      <c r="K111" s="624"/>
      <c r="L111" s="624"/>
      <c r="M111" s="624"/>
      <c r="N111" s="624"/>
      <c r="O111" s="624"/>
      <c r="P111" s="624"/>
      <c r="Q111" s="624"/>
      <c r="R111" s="624"/>
      <c r="S111" s="624"/>
      <c r="T111" s="624"/>
      <c r="U111" s="624"/>
      <c r="V111" s="624"/>
      <c r="W111" s="624"/>
      <c r="X111" s="624"/>
      <c r="Y111" s="624"/>
      <c r="Z111" s="624"/>
      <c r="AA111" s="624"/>
      <c r="AB111" s="624"/>
      <c r="AC111" s="624"/>
      <c r="AD111" s="624"/>
      <c r="AE111" s="624"/>
      <c r="AF111" s="624"/>
      <c r="AG111" s="624"/>
      <c r="AH111" s="624"/>
      <c r="AI111" s="621"/>
      <c r="AJ111" s="616"/>
      <c r="AK111" s="615"/>
      <c r="AL111" s="615"/>
      <c r="AM111" s="615"/>
      <c r="AN111" s="615"/>
      <c r="AO111" s="615"/>
      <c r="AP111" s="615"/>
      <c r="AR111" s="615"/>
      <c r="AS111" s="615"/>
      <c r="AT111" s="615"/>
      <c r="AU111" s="615"/>
      <c r="AV111" s="615"/>
      <c r="AW111" s="615"/>
      <c r="AX111" s="615"/>
      <c r="AY111" s="615"/>
      <c r="AZ111" s="615"/>
      <c r="BA111" s="615"/>
      <c r="BB111" s="615"/>
      <c r="BC111" s="615"/>
      <c r="BD111" s="615"/>
      <c r="BE111" s="615"/>
      <c r="BF111" s="615"/>
      <c r="BG111" s="615"/>
      <c r="BH111" s="615"/>
      <c r="BI111" s="615"/>
      <c r="BJ111" s="615"/>
      <c r="BK111" s="615"/>
      <c r="BL111" s="617"/>
    </row>
    <row r="112" spans="3:64" s="622" customFormat="1">
      <c r="C112" s="622" t="s">
        <v>26</v>
      </c>
      <c r="D112" s="623"/>
      <c r="E112" s="624"/>
      <c r="F112" s="624"/>
      <c r="G112" s="624"/>
      <c r="H112" s="624"/>
      <c r="I112" s="624"/>
      <c r="J112" s="624"/>
      <c r="K112" s="624"/>
      <c r="L112" s="624"/>
      <c r="M112" s="624"/>
      <c r="N112" s="624"/>
      <c r="O112" s="624"/>
      <c r="P112" s="624"/>
      <c r="Q112" s="624"/>
      <c r="R112" s="624"/>
      <c r="S112" s="624"/>
      <c r="T112" s="624"/>
      <c r="U112" s="624"/>
      <c r="V112" s="624"/>
      <c r="W112" s="624"/>
      <c r="X112" s="624"/>
      <c r="Y112" s="624"/>
      <c r="Z112" s="624"/>
      <c r="AA112" s="624"/>
      <c r="AB112" s="624"/>
      <c r="AC112" s="624"/>
      <c r="AD112" s="624"/>
      <c r="AE112" s="624"/>
      <c r="AF112" s="624"/>
      <c r="AG112" s="624"/>
      <c r="AH112" s="624"/>
      <c r="AI112" s="621"/>
      <c r="AJ112" s="616"/>
      <c r="AK112" s="615"/>
      <c r="AL112" s="615"/>
      <c r="AM112" s="615"/>
      <c r="AN112" s="615"/>
      <c r="AO112" s="615"/>
      <c r="AP112" s="615"/>
      <c r="AR112" s="615"/>
      <c r="AS112" s="615"/>
      <c r="AT112" s="615"/>
      <c r="AU112" s="615"/>
      <c r="AV112" s="615"/>
      <c r="AW112" s="615"/>
      <c r="AX112" s="615"/>
      <c r="AY112" s="615"/>
      <c r="AZ112" s="615"/>
      <c r="BA112" s="615"/>
      <c r="BB112" s="615"/>
      <c r="BC112" s="615"/>
      <c r="BD112" s="615"/>
      <c r="BE112" s="615"/>
      <c r="BF112" s="615"/>
      <c r="BG112" s="615"/>
      <c r="BH112" s="615"/>
      <c r="BI112" s="615"/>
      <c r="BJ112" s="615"/>
      <c r="BK112" s="615"/>
      <c r="BL112" s="617"/>
    </row>
    <row r="113" spans="3:64" s="622" customFormat="1">
      <c r="C113" s="622" t="s">
        <v>27</v>
      </c>
      <c r="D113" s="623"/>
      <c r="E113" s="624"/>
      <c r="F113" s="624"/>
      <c r="G113" s="624"/>
      <c r="H113" s="624"/>
      <c r="I113" s="624"/>
      <c r="J113" s="624"/>
      <c r="K113" s="624"/>
      <c r="L113" s="624"/>
      <c r="M113" s="624"/>
      <c r="N113" s="624"/>
      <c r="O113" s="624"/>
      <c r="P113" s="624"/>
      <c r="Q113" s="624"/>
      <c r="R113" s="624"/>
      <c r="S113" s="624"/>
      <c r="T113" s="624"/>
      <c r="U113" s="624"/>
      <c r="V113" s="624"/>
      <c r="W113" s="624"/>
      <c r="X113" s="624"/>
      <c r="Y113" s="624"/>
      <c r="Z113" s="624"/>
      <c r="AA113" s="624"/>
      <c r="AB113" s="624"/>
      <c r="AC113" s="624"/>
      <c r="AD113" s="624"/>
      <c r="AE113" s="624"/>
      <c r="AF113" s="624"/>
      <c r="AG113" s="624"/>
      <c r="AH113" s="624"/>
      <c r="AI113" s="621"/>
      <c r="AJ113" s="616"/>
      <c r="AK113" s="615"/>
      <c r="AL113" s="615"/>
      <c r="AM113" s="615"/>
      <c r="AN113" s="615"/>
      <c r="AO113" s="615"/>
      <c r="AP113" s="615"/>
      <c r="AR113" s="615"/>
      <c r="AS113" s="615"/>
      <c r="AT113" s="615"/>
      <c r="AU113" s="615"/>
      <c r="AV113" s="615"/>
      <c r="AW113" s="615"/>
      <c r="AX113" s="615"/>
      <c r="AY113" s="615"/>
      <c r="AZ113" s="615"/>
      <c r="BA113" s="615"/>
      <c r="BB113" s="615"/>
      <c r="BC113" s="615"/>
      <c r="BD113" s="615"/>
      <c r="BE113" s="615"/>
      <c r="BF113" s="615"/>
      <c r="BG113" s="615"/>
      <c r="BH113" s="615"/>
      <c r="BI113" s="615"/>
      <c r="BJ113" s="615"/>
      <c r="BK113" s="615"/>
      <c r="BL113" s="617"/>
    </row>
    <row r="114" spans="3:64" s="622" customFormat="1">
      <c r="C114" s="622" t="s">
        <v>28</v>
      </c>
      <c r="D114" s="623"/>
      <c r="E114" s="624"/>
      <c r="F114" s="624"/>
      <c r="G114" s="624"/>
      <c r="H114" s="624"/>
      <c r="I114" s="624"/>
      <c r="J114" s="624"/>
      <c r="K114" s="624"/>
      <c r="L114" s="624"/>
      <c r="M114" s="624"/>
      <c r="N114" s="624"/>
      <c r="O114" s="624"/>
      <c r="P114" s="624"/>
      <c r="Q114" s="624"/>
      <c r="R114" s="624"/>
      <c r="S114" s="624"/>
      <c r="T114" s="624"/>
      <c r="U114" s="624"/>
      <c r="V114" s="624"/>
      <c r="W114" s="624"/>
      <c r="X114" s="624"/>
      <c r="Y114" s="624"/>
      <c r="Z114" s="624"/>
      <c r="AA114" s="624"/>
      <c r="AB114" s="624"/>
      <c r="AC114" s="624"/>
      <c r="AD114" s="624"/>
      <c r="AE114" s="624"/>
      <c r="AF114" s="624"/>
      <c r="AG114" s="624"/>
      <c r="AH114" s="624"/>
      <c r="AI114" s="621"/>
      <c r="AJ114" s="616"/>
      <c r="AK114" s="615"/>
      <c r="AL114" s="615"/>
      <c r="AM114" s="615"/>
      <c r="AN114" s="615"/>
      <c r="AO114" s="615"/>
      <c r="AP114" s="615"/>
      <c r="AR114" s="615"/>
      <c r="AS114" s="615"/>
      <c r="AT114" s="615"/>
      <c r="AU114" s="615"/>
      <c r="AV114" s="615"/>
      <c r="AW114" s="615"/>
      <c r="AX114" s="615"/>
      <c r="AY114" s="615"/>
      <c r="AZ114" s="615"/>
      <c r="BA114" s="615"/>
      <c r="BB114" s="615"/>
      <c r="BC114" s="615"/>
      <c r="BD114" s="615"/>
      <c r="BE114" s="615"/>
      <c r="BF114" s="615"/>
      <c r="BG114" s="615"/>
      <c r="BH114" s="615"/>
      <c r="BI114" s="615"/>
      <c r="BJ114" s="615"/>
      <c r="BK114" s="615"/>
      <c r="BL114" s="617"/>
    </row>
    <row r="115" spans="3:64" s="622" customFormat="1">
      <c r="C115" s="622" t="s">
        <v>29</v>
      </c>
      <c r="D115" s="623"/>
      <c r="E115" s="624"/>
      <c r="F115" s="624"/>
      <c r="G115" s="624"/>
      <c r="H115" s="624"/>
      <c r="I115" s="624"/>
      <c r="J115" s="624"/>
      <c r="K115" s="624"/>
      <c r="L115" s="624"/>
      <c r="M115" s="624"/>
      <c r="N115" s="624"/>
      <c r="O115" s="624"/>
      <c r="P115" s="624"/>
      <c r="Q115" s="624"/>
      <c r="R115" s="624"/>
      <c r="S115" s="624"/>
      <c r="T115" s="624"/>
      <c r="U115" s="624"/>
      <c r="V115" s="624"/>
      <c r="W115" s="624"/>
      <c r="X115" s="624"/>
      <c r="Y115" s="624"/>
      <c r="Z115" s="624"/>
      <c r="AA115" s="624"/>
      <c r="AB115" s="624"/>
      <c r="AC115" s="624"/>
      <c r="AD115" s="624"/>
      <c r="AE115" s="624"/>
      <c r="AF115" s="624"/>
      <c r="AG115" s="624"/>
      <c r="AH115" s="624"/>
      <c r="AI115" s="621"/>
      <c r="AJ115" s="616"/>
      <c r="AK115" s="615"/>
      <c r="AL115" s="615"/>
      <c r="AM115" s="615"/>
      <c r="AN115" s="615"/>
      <c r="AO115" s="615"/>
      <c r="AP115" s="615"/>
      <c r="AR115" s="615"/>
      <c r="AS115" s="615"/>
      <c r="AT115" s="615"/>
      <c r="AU115" s="615"/>
      <c r="AV115" s="615"/>
      <c r="AW115" s="615"/>
      <c r="AX115" s="615"/>
      <c r="AY115" s="615"/>
      <c r="AZ115" s="615"/>
      <c r="BA115" s="615"/>
      <c r="BB115" s="615"/>
      <c r="BC115" s="615"/>
      <c r="BD115" s="615"/>
      <c r="BE115" s="615"/>
      <c r="BF115" s="615"/>
      <c r="BG115" s="615"/>
      <c r="BH115" s="615"/>
      <c r="BI115" s="615"/>
      <c r="BJ115" s="615"/>
      <c r="BK115" s="615"/>
      <c r="BL115" s="617"/>
    </row>
    <row r="116" spans="3:64" s="622" customFormat="1">
      <c r="C116" s="622" t="s">
        <v>30</v>
      </c>
      <c r="D116" s="623"/>
      <c r="E116" s="624"/>
      <c r="F116" s="624"/>
      <c r="G116" s="624"/>
      <c r="H116" s="624"/>
      <c r="I116" s="624"/>
      <c r="J116" s="624"/>
      <c r="K116" s="624"/>
      <c r="L116" s="624"/>
      <c r="M116" s="624"/>
      <c r="N116" s="624"/>
      <c r="O116" s="624"/>
      <c r="P116" s="624"/>
      <c r="Q116" s="624"/>
      <c r="R116" s="624"/>
      <c r="S116" s="624"/>
      <c r="T116" s="624"/>
      <c r="U116" s="624"/>
      <c r="V116" s="624"/>
      <c r="W116" s="624"/>
      <c r="X116" s="624"/>
      <c r="Y116" s="624"/>
      <c r="Z116" s="624"/>
      <c r="AA116" s="624"/>
      <c r="AB116" s="624"/>
      <c r="AC116" s="624"/>
      <c r="AD116" s="624"/>
      <c r="AE116" s="624"/>
      <c r="AF116" s="624"/>
      <c r="AG116" s="624"/>
      <c r="AH116" s="624"/>
      <c r="AI116" s="621"/>
      <c r="AJ116" s="616"/>
      <c r="AK116" s="615"/>
      <c r="AL116" s="615"/>
      <c r="AM116" s="615"/>
      <c r="AN116" s="615"/>
      <c r="AO116" s="615"/>
      <c r="AP116" s="615"/>
      <c r="AR116" s="615"/>
      <c r="AS116" s="615"/>
      <c r="AT116" s="615"/>
      <c r="AU116" s="615"/>
      <c r="AV116" s="615"/>
      <c r="AW116" s="615"/>
      <c r="AX116" s="615"/>
      <c r="AY116" s="615"/>
      <c r="AZ116" s="615"/>
      <c r="BA116" s="615"/>
      <c r="BB116" s="615"/>
      <c r="BC116" s="615"/>
      <c r="BD116" s="615"/>
      <c r="BE116" s="615"/>
      <c r="BF116" s="615"/>
      <c r="BG116" s="615"/>
      <c r="BH116" s="615"/>
      <c r="BI116" s="615"/>
      <c r="BJ116" s="615"/>
      <c r="BK116" s="615"/>
      <c r="BL116" s="617"/>
    </row>
    <row r="117" spans="3:64" s="622" customFormat="1">
      <c r="C117" s="622" t="s">
        <v>31</v>
      </c>
      <c r="D117" s="623"/>
      <c r="E117" s="624"/>
      <c r="F117" s="624"/>
      <c r="G117" s="624"/>
      <c r="H117" s="624"/>
      <c r="I117" s="624"/>
      <c r="J117" s="624"/>
      <c r="K117" s="624"/>
      <c r="L117" s="624"/>
      <c r="M117" s="624"/>
      <c r="N117" s="624"/>
      <c r="O117" s="624"/>
      <c r="P117" s="624"/>
      <c r="Q117" s="624"/>
      <c r="R117" s="624"/>
      <c r="S117" s="624"/>
      <c r="T117" s="624"/>
      <c r="U117" s="624"/>
      <c r="V117" s="624"/>
      <c r="W117" s="624"/>
      <c r="X117" s="624"/>
      <c r="Y117" s="624"/>
      <c r="Z117" s="624"/>
      <c r="AA117" s="624"/>
      <c r="AB117" s="624"/>
      <c r="AC117" s="624"/>
      <c r="AD117" s="624"/>
      <c r="AE117" s="624"/>
      <c r="AF117" s="624"/>
      <c r="AG117" s="624"/>
      <c r="AH117" s="624"/>
      <c r="AI117" s="621"/>
      <c r="AJ117" s="616"/>
      <c r="AK117" s="615"/>
      <c r="AL117" s="615"/>
      <c r="AM117" s="615"/>
      <c r="AN117" s="615"/>
      <c r="AO117" s="615"/>
      <c r="AP117" s="615"/>
      <c r="AR117" s="615"/>
      <c r="AS117" s="615"/>
      <c r="AT117" s="615"/>
      <c r="AU117" s="615"/>
      <c r="AV117" s="615"/>
      <c r="AW117" s="615"/>
      <c r="AX117" s="615"/>
      <c r="AY117" s="615"/>
      <c r="AZ117" s="615"/>
      <c r="BA117" s="615"/>
      <c r="BB117" s="615"/>
      <c r="BC117" s="615"/>
      <c r="BD117" s="615"/>
      <c r="BE117" s="615"/>
      <c r="BF117" s="615"/>
      <c r="BG117" s="615"/>
      <c r="BH117" s="615"/>
      <c r="BI117" s="615"/>
      <c r="BJ117" s="615"/>
      <c r="BK117" s="615"/>
      <c r="BL117" s="617"/>
    </row>
    <row r="118" spans="3:64" s="622" customFormat="1">
      <c r="C118" s="622" t="s">
        <v>87</v>
      </c>
      <c r="D118" s="623"/>
      <c r="E118" s="624"/>
      <c r="F118" s="624"/>
      <c r="G118" s="624"/>
      <c r="H118" s="624"/>
      <c r="I118" s="624"/>
      <c r="J118" s="624"/>
      <c r="K118" s="624"/>
      <c r="L118" s="624"/>
      <c r="M118" s="624"/>
      <c r="N118" s="624"/>
      <c r="O118" s="624"/>
      <c r="P118" s="624"/>
      <c r="Q118" s="624"/>
      <c r="R118" s="624"/>
      <c r="S118" s="624"/>
      <c r="T118" s="624"/>
      <c r="U118" s="624"/>
      <c r="V118" s="624"/>
      <c r="W118" s="624"/>
      <c r="X118" s="624"/>
      <c r="Y118" s="624"/>
      <c r="Z118" s="624"/>
      <c r="AA118" s="624"/>
      <c r="AB118" s="624"/>
      <c r="AC118" s="624"/>
      <c r="AD118" s="624"/>
      <c r="AE118" s="624"/>
      <c r="AF118" s="624"/>
      <c r="AG118" s="624"/>
      <c r="AH118" s="624"/>
      <c r="AI118" s="621"/>
      <c r="AJ118" s="616"/>
      <c r="AK118" s="615"/>
      <c r="AL118" s="615"/>
      <c r="AM118" s="615"/>
      <c r="AN118" s="615"/>
      <c r="AO118" s="615"/>
      <c r="AP118" s="615"/>
      <c r="AR118" s="615"/>
      <c r="AS118" s="615"/>
      <c r="AT118" s="615"/>
      <c r="AU118" s="615"/>
      <c r="AV118" s="615"/>
      <c r="AW118" s="615"/>
      <c r="AX118" s="615"/>
      <c r="AY118" s="615"/>
      <c r="AZ118" s="615"/>
      <c r="BA118" s="615"/>
      <c r="BB118" s="615"/>
      <c r="BC118" s="615"/>
      <c r="BD118" s="615"/>
      <c r="BE118" s="615"/>
      <c r="BF118" s="615"/>
      <c r="BG118" s="615"/>
      <c r="BH118" s="615"/>
      <c r="BI118" s="615"/>
      <c r="BJ118" s="615"/>
      <c r="BK118" s="615"/>
      <c r="BL118" s="617"/>
    </row>
    <row r="119" spans="3:64" s="622" customFormat="1">
      <c r="C119" s="622" t="s">
        <v>32</v>
      </c>
      <c r="D119" s="623"/>
      <c r="E119" s="624"/>
      <c r="F119" s="624"/>
      <c r="G119" s="624"/>
      <c r="H119" s="624"/>
      <c r="I119" s="624"/>
      <c r="J119" s="624"/>
      <c r="K119" s="624"/>
      <c r="L119" s="624"/>
      <c r="M119" s="624"/>
      <c r="N119" s="624"/>
      <c r="O119" s="624"/>
      <c r="P119" s="624"/>
      <c r="Q119" s="624"/>
      <c r="R119" s="624"/>
      <c r="S119" s="624"/>
      <c r="T119" s="624"/>
      <c r="U119" s="624"/>
      <c r="V119" s="624"/>
      <c r="W119" s="624"/>
      <c r="X119" s="624"/>
      <c r="Y119" s="624"/>
      <c r="Z119" s="624"/>
      <c r="AA119" s="624"/>
      <c r="AB119" s="624"/>
      <c r="AC119" s="624"/>
      <c r="AD119" s="624"/>
      <c r="AE119" s="624"/>
      <c r="AF119" s="624"/>
      <c r="AG119" s="624"/>
      <c r="AH119" s="624"/>
      <c r="AI119" s="621"/>
      <c r="AJ119" s="616"/>
      <c r="AK119" s="615"/>
      <c r="AL119" s="615"/>
      <c r="AM119" s="615"/>
      <c r="AN119" s="615"/>
      <c r="AO119" s="615"/>
      <c r="AP119" s="615"/>
      <c r="AR119" s="615"/>
      <c r="AS119" s="615"/>
      <c r="AT119" s="615"/>
      <c r="AU119" s="615"/>
      <c r="AV119" s="615"/>
      <c r="AW119" s="615"/>
      <c r="AX119" s="615"/>
      <c r="AY119" s="615"/>
      <c r="AZ119" s="615"/>
      <c r="BA119" s="615"/>
      <c r="BB119" s="615"/>
      <c r="BC119" s="615"/>
      <c r="BD119" s="615"/>
      <c r="BE119" s="615"/>
      <c r="BF119" s="615"/>
      <c r="BG119" s="615"/>
      <c r="BH119" s="615"/>
      <c r="BI119" s="615"/>
      <c r="BJ119" s="615"/>
      <c r="BK119" s="615"/>
      <c r="BL119" s="617"/>
    </row>
    <row r="120" spans="3:64" s="622" customFormat="1">
      <c r="C120" s="622" t="s">
        <v>33</v>
      </c>
      <c r="D120" s="623"/>
      <c r="E120" s="624"/>
      <c r="F120" s="624"/>
      <c r="G120" s="624"/>
      <c r="H120" s="624"/>
      <c r="I120" s="624"/>
      <c r="J120" s="624"/>
      <c r="K120" s="624"/>
      <c r="L120" s="624"/>
      <c r="M120" s="624"/>
      <c r="N120" s="624"/>
      <c r="O120" s="624"/>
      <c r="P120" s="624"/>
      <c r="Q120" s="624"/>
      <c r="R120" s="624"/>
      <c r="S120" s="624"/>
      <c r="T120" s="624"/>
      <c r="U120" s="624"/>
      <c r="V120" s="624"/>
      <c r="W120" s="624"/>
      <c r="X120" s="624"/>
      <c r="Y120" s="624"/>
      <c r="Z120" s="624"/>
      <c r="AA120" s="624"/>
      <c r="AB120" s="624"/>
      <c r="AC120" s="624"/>
      <c r="AD120" s="624"/>
      <c r="AE120" s="624"/>
      <c r="AF120" s="624"/>
      <c r="AG120" s="624"/>
      <c r="AH120" s="624"/>
      <c r="AI120" s="621"/>
      <c r="AJ120" s="616"/>
      <c r="AK120" s="615"/>
      <c r="AL120" s="615"/>
      <c r="AM120" s="615"/>
      <c r="AN120" s="615"/>
      <c r="AO120" s="615"/>
      <c r="AP120" s="615"/>
      <c r="AR120" s="615"/>
      <c r="AS120" s="615"/>
      <c r="AT120" s="615"/>
      <c r="AU120" s="615"/>
      <c r="AV120" s="615"/>
      <c r="AW120" s="615"/>
      <c r="AX120" s="615"/>
      <c r="AY120" s="615"/>
      <c r="AZ120" s="615"/>
      <c r="BA120" s="615"/>
      <c r="BB120" s="615"/>
      <c r="BC120" s="615"/>
      <c r="BD120" s="615"/>
      <c r="BE120" s="615"/>
      <c r="BF120" s="615"/>
      <c r="BG120" s="615"/>
      <c r="BH120" s="615"/>
      <c r="BI120" s="615"/>
      <c r="BJ120" s="615"/>
      <c r="BK120" s="615"/>
      <c r="BL120" s="617"/>
    </row>
    <row r="121" spans="3:64" s="622" customFormat="1">
      <c r="C121" s="622" t="s">
        <v>34</v>
      </c>
      <c r="D121" s="623"/>
      <c r="E121" s="624"/>
      <c r="F121" s="624"/>
      <c r="G121" s="624"/>
      <c r="H121" s="624"/>
      <c r="I121" s="624"/>
      <c r="J121" s="624"/>
      <c r="K121" s="624"/>
      <c r="L121" s="624"/>
      <c r="M121" s="624"/>
      <c r="N121" s="624"/>
      <c r="O121" s="624"/>
      <c r="P121" s="624"/>
      <c r="Q121" s="624"/>
      <c r="R121" s="624"/>
      <c r="S121" s="624"/>
      <c r="T121" s="624"/>
      <c r="U121" s="624"/>
      <c r="V121" s="624"/>
      <c r="W121" s="624"/>
      <c r="X121" s="624"/>
      <c r="Y121" s="624"/>
      <c r="Z121" s="624"/>
      <c r="AA121" s="624"/>
      <c r="AB121" s="624"/>
      <c r="AC121" s="624"/>
      <c r="AD121" s="624"/>
      <c r="AE121" s="624"/>
      <c r="AF121" s="624"/>
      <c r="AG121" s="624"/>
      <c r="AH121" s="624"/>
      <c r="AI121" s="621"/>
      <c r="AJ121" s="616"/>
      <c r="AK121" s="615"/>
      <c r="AL121" s="615"/>
      <c r="AM121" s="615"/>
      <c r="AN121" s="615"/>
      <c r="AO121" s="615"/>
      <c r="AP121" s="615"/>
      <c r="AR121" s="615"/>
      <c r="AS121" s="615"/>
      <c r="AT121" s="615"/>
      <c r="AU121" s="615"/>
      <c r="AV121" s="615"/>
      <c r="AW121" s="615"/>
      <c r="AX121" s="615"/>
      <c r="AY121" s="615"/>
      <c r="AZ121" s="615"/>
      <c r="BA121" s="615"/>
      <c r="BB121" s="615"/>
      <c r="BC121" s="615"/>
      <c r="BD121" s="615"/>
      <c r="BE121" s="615"/>
      <c r="BF121" s="615"/>
      <c r="BG121" s="615"/>
      <c r="BH121" s="615"/>
      <c r="BI121" s="615"/>
      <c r="BJ121" s="615"/>
      <c r="BK121" s="615"/>
      <c r="BL121" s="617"/>
    </row>
    <row r="122" spans="3:64" s="622" customFormat="1">
      <c r="C122" s="622" t="s">
        <v>35</v>
      </c>
      <c r="D122" s="623"/>
      <c r="E122" s="624"/>
      <c r="F122" s="624"/>
      <c r="G122" s="624"/>
      <c r="H122" s="624"/>
      <c r="I122" s="624"/>
      <c r="J122" s="624"/>
      <c r="K122" s="624"/>
      <c r="L122" s="624"/>
      <c r="M122" s="624"/>
      <c r="N122" s="624"/>
      <c r="O122" s="624"/>
      <c r="P122" s="624"/>
      <c r="Q122" s="624"/>
      <c r="R122" s="624"/>
      <c r="S122" s="624"/>
      <c r="T122" s="624"/>
      <c r="U122" s="624"/>
      <c r="V122" s="624"/>
      <c r="W122" s="624"/>
      <c r="X122" s="624"/>
      <c r="Y122" s="624"/>
      <c r="Z122" s="624"/>
      <c r="AA122" s="624"/>
      <c r="AB122" s="624"/>
      <c r="AC122" s="624"/>
      <c r="AD122" s="624"/>
      <c r="AE122" s="624"/>
      <c r="AF122" s="624"/>
      <c r="AG122" s="624"/>
      <c r="AH122" s="624"/>
      <c r="AI122" s="621"/>
      <c r="AJ122" s="616"/>
      <c r="AK122" s="615"/>
      <c r="AL122" s="615"/>
      <c r="AM122" s="615"/>
      <c r="AN122" s="615"/>
      <c r="AO122" s="615"/>
      <c r="AP122" s="615"/>
      <c r="AR122" s="615"/>
      <c r="AS122" s="615"/>
      <c r="AT122" s="615"/>
      <c r="AU122" s="615"/>
      <c r="AV122" s="615"/>
      <c r="AW122" s="615"/>
      <c r="AX122" s="615"/>
      <c r="AY122" s="615"/>
      <c r="AZ122" s="615"/>
      <c r="BA122" s="615"/>
      <c r="BB122" s="615"/>
      <c r="BC122" s="615"/>
      <c r="BD122" s="615"/>
      <c r="BE122" s="615"/>
      <c r="BF122" s="615"/>
      <c r="BG122" s="615"/>
      <c r="BH122" s="615"/>
      <c r="BI122" s="615"/>
      <c r="BJ122" s="615"/>
      <c r="BK122" s="615"/>
      <c r="BL122" s="617"/>
    </row>
    <row r="123" spans="3:64" s="622" customFormat="1">
      <c r="C123" s="622" t="s">
        <v>36</v>
      </c>
      <c r="D123" s="623"/>
      <c r="E123" s="624"/>
      <c r="F123" s="624"/>
      <c r="G123" s="624"/>
      <c r="H123" s="624"/>
      <c r="I123" s="624"/>
      <c r="J123" s="624"/>
      <c r="K123" s="624"/>
      <c r="L123" s="624"/>
      <c r="M123" s="624"/>
      <c r="N123" s="624"/>
      <c r="O123" s="624"/>
      <c r="P123" s="624"/>
      <c r="Q123" s="624"/>
      <c r="R123" s="624"/>
      <c r="S123" s="624"/>
      <c r="T123" s="624"/>
      <c r="U123" s="624"/>
      <c r="V123" s="624"/>
      <c r="W123" s="624"/>
      <c r="X123" s="624"/>
      <c r="Y123" s="624"/>
      <c r="Z123" s="624"/>
      <c r="AA123" s="624"/>
      <c r="AB123" s="624"/>
      <c r="AC123" s="624"/>
      <c r="AD123" s="624"/>
      <c r="AE123" s="624"/>
      <c r="AF123" s="624"/>
      <c r="AG123" s="624"/>
      <c r="AH123" s="624"/>
      <c r="AI123" s="621"/>
      <c r="AJ123" s="616"/>
      <c r="AK123" s="615"/>
      <c r="AL123" s="615"/>
      <c r="AM123" s="615"/>
      <c r="AN123" s="615"/>
      <c r="AO123" s="615"/>
      <c r="AP123" s="615"/>
      <c r="AR123" s="615"/>
      <c r="AS123" s="615"/>
      <c r="AT123" s="615"/>
      <c r="AU123" s="615"/>
      <c r="AV123" s="615"/>
      <c r="AW123" s="615"/>
      <c r="AX123" s="615"/>
      <c r="AY123" s="615"/>
      <c r="AZ123" s="615"/>
      <c r="BA123" s="615"/>
      <c r="BB123" s="615"/>
      <c r="BC123" s="615"/>
      <c r="BD123" s="615"/>
      <c r="BE123" s="615"/>
      <c r="BF123" s="615"/>
      <c r="BG123" s="615"/>
      <c r="BH123" s="615"/>
      <c r="BI123" s="615"/>
      <c r="BJ123" s="615"/>
      <c r="BK123" s="615"/>
      <c r="BL123" s="617"/>
    </row>
    <row r="124" spans="3:64" s="622" customFormat="1">
      <c r="C124" s="622" t="s">
        <v>37</v>
      </c>
      <c r="D124" s="623"/>
      <c r="E124" s="624"/>
      <c r="F124" s="624"/>
      <c r="G124" s="624"/>
      <c r="H124" s="624"/>
      <c r="I124" s="624"/>
      <c r="J124" s="624"/>
      <c r="K124" s="624"/>
      <c r="L124" s="624"/>
      <c r="M124" s="624"/>
      <c r="N124" s="624"/>
      <c r="O124" s="624"/>
      <c r="P124" s="624"/>
      <c r="Q124" s="624"/>
      <c r="R124" s="624"/>
      <c r="S124" s="624"/>
      <c r="T124" s="624"/>
      <c r="U124" s="624"/>
      <c r="V124" s="624"/>
      <c r="W124" s="624"/>
      <c r="X124" s="624"/>
      <c r="Y124" s="624"/>
      <c r="Z124" s="624"/>
      <c r="AA124" s="624"/>
      <c r="AB124" s="624"/>
      <c r="AC124" s="624"/>
      <c r="AD124" s="624"/>
      <c r="AE124" s="624"/>
      <c r="AF124" s="624"/>
      <c r="AG124" s="624"/>
      <c r="AH124" s="624"/>
      <c r="AI124" s="621"/>
      <c r="AJ124" s="616"/>
      <c r="AK124" s="615"/>
      <c r="AL124" s="615"/>
      <c r="AM124" s="615"/>
      <c r="AN124" s="615"/>
      <c r="AO124" s="615"/>
      <c r="AP124" s="615"/>
      <c r="AR124" s="615"/>
      <c r="AS124" s="615"/>
      <c r="AT124" s="615"/>
      <c r="AU124" s="615"/>
      <c r="AV124" s="615"/>
      <c r="AW124" s="615"/>
      <c r="AX124" s="615"/>
      <c r="AY124" s="615"/>
      <c r="AZ124" s="615"/>
      <c r="BA124" s="615"/>
      <c r="BB124" s="615"/>
      <c r="BC124" s="615"/>
      <c r="BD124" s="615"/>
      <c r="BE124" s="615"/>
      <c r="BF124" s="615"/>
      <c r="BG124" s="615"/>
      <c r="BH124" s="615"/>
      <c r="BI124" s="615"/>
      <c r="BJ124" s="615"/>
      <c r="BK124" s="615"/>
      <c r="BL124" s="617"/>
    </row>
    <row r="125" spans="3:64" s="622" customFormat="1">
      <c r="C125" s="622" t="s">
        <v>38</v>
      </c>
      <c r="D125" s="623"/>
      <c r="E125" s="624"/>
      <c r="F125" s="624"/>
      <c r="G125" s="624"/>
      <c r="H125" s="624"/>
      <c r="I125" s="624"/>
      <c r="J125" s="624"/>
      <c r="K125" s="624"/>
      <c r="L125" s="624"/>
      <c r="M125" s="624"/>
      <c r="N125" s="624"/>
      <c r="O125" s="624"/>
      <c r="P125" s="624"/>
      <c r="Q125" s="624"/>
      <c r="R125" s="624"/>
      <c r="S125" s="624"/>
      <c r="T125" s="624"/>
      <c r="U125" s="624"/>
      <c r="V125" s="624"/>
      <c r="W125" s="624"/>
      <c r="X125" s="624"/>
      <c r="Y125" s="624"/>
      <c r="Z125" s="624"/>
      <c r="AA125" s="624"/>
      <c r="AB125" s="624"/>
      <c r="AC125" s="624"/>
      <c r="AD125" s="624"/>
      <c r="AE125" s="624"/>
      <c r="AF125" s="624"/>
      <c r="AG125" s="624"/>
      <c r="AH125" s="624"/>
      <c r="AI125" s="621"/>
      <c r="AJ125" s="616"/>
      <c r="AK125" s="615"/>
      <c r="AL125" s="615"/>
      <c r="AM125" s="615"/>
      <c r="AN125" s="615"/>
      <c r="AO125" s="615"/>
      <c r="AP125" s="615"/>
      <c r="AR125" s="615"/>
      <c r="AS125" s="615"/>
      <c r="AT125" s="615"/>
      <c r="AU125" s="615"/>
      <c r="AV125" s="615"/>
      <c r="AW125" s="615"/>
      <c r="AX125" s="615"/>
      <c r="AY125" s="615"/>
      <c r="AZ125" s="615"/>
      <c r="BA125" s="615"/>
      <c r="BB125" s="615"/>
      <c r="BC125" s="615"/>
      <c r="BD125" s="615"/>
      <c r="BE125" s="615"/>
      <c r="BF125" s="615"/>
      <c r="BG125" s="615"/>
      <c r="BH125" s="615"/>
      <c r="BI125" s="615"/>
      <c r="BJ125" s="615"/>
      <c r="BK125" s="615"/>
      <c r="BL125" s="617"/>
    </row>
    <row r="126" spans="3:64" s="622" customFormat="1">
      <c r="C126" s="622" t="s">
        <v>39</v>
      </c>
      <c r="D126" s="623"/>
      <c r="E126" s="624"/>
      <c r="F126" s="624"/>
      <c r="G126" s="624"/>
      <c r="H126" s="624"/>
      <c r="I126" s="624"/>
      <c r="J126" s="624"/>
      <c r="K126" s="624"/>
      <c r="L126" s="624"/>
      <c r="M126" s="624"/>
      <c r="N126" s="624"/>
      <c r="O126" s="624"/>
      <c r="P126" s="624"/>
      <c r="Q126" s="624"/>
      <c r="R126" s="624"/>
      <c r="S126" s="624"/>
      <c r="T126" s="624"/>
      <c r="U126" s="624"/>
      <c r="V126" s="624"/>
      <c r="W126" s="624"/>
      <c r="X126" s="624"/>
      <c r="Y126" s="624"/>
      <c r="Z126" s="624"/>
      <c r="AA126" s="624"/>
      <c r="AB126" s="624"/>
      <c r="AC126" s="624"/>
      <c r="AD126" s="624"/>
      <c r="AE126" s="624"/>
      <c r="AF126" s="624"/>
      <c r="AG126" s="624"/>
      <c r="AH126" s="624"/>
      <c r="AI126" s="621"/>
      <c r="AJ126" s="616"/>
      <c r="AK126" s="615"/>
      <c r="AL126" s="615"/>
      <c r="AM126" s="615"/>
      <c r="AN126" s="615"/>
      <c r="AO126" s="615"/>
      <c r="AP126" s="615"/>
      <c r="AR126" s="615"/>
      <c r="AS126" s="615"/>
      <c r="AT126" s="615"/>
      <c r="AU126" s="615"/>
      <c r="AV126" s="615"/>
      <c r="AW126" s="615"/>
      <c r="AX126" s="615"/>
      <c r="AY126" s="615"/>
      <c r="AZ126" s="615"/>
      <c r="BA126" s="615"/>
      <c r="BB126" s="615"/>
      <c r="BC126" s="615"/>
      <c r="BD126" s="615"/>
      <c r="BE126" s="615"/>
      <c r="BF126" s="615"/>
      <c r="BG126" s="615"/>
      <c r="BH126" s="615"/>
      <c r="BI126" s="615"/>
      <c r="BJ126" s="615"/>
      <c r="BK126" s="615"/>
      <c r="BL126" s="617"/>
    </row>
    <row r="127" spans="3:64" s="605" customFormat="1" ht="6" customHeight="1">
      <c r="C127" s="611"/>
      <c r="D127" s="609"/>
      <c r="E127" s="610"/>
      <c r="F127" s="610"/>
      <c r="G127" s="610"/>
      <c r="H127" s="610"/>
      <c r="I127" s="610"/>
      <c r="J127" s="610"/>
      <c r="K127" s="610"/>
      <c r="L127" s="610"/>
      <c r="M127" s="610"/>
      <c r="N127" s="610"/>
      <c r="O127" s="610"/>
      <c r="P127" s="610"/>
      <c r="Q127" s="610"/>
      <c r="R127" s="610"/>
      <c r="S127" s="610"/>
      <c r="T127" s="610"/>
      <c r="U127" s="610"/>
      <c r="V127" s="610"/>
      <c r="W127" s="610"/>
      <c r="X127" s="610"/>
      <c r="Y127" s="610"/>
      <c r="Z127" s="610"/>
      <c r="AA127" s="610"/>
      <c r="AB127" s="610"/>
      <c r="AC127" s="610"/>
      <c r="AD127" s="610"/>
      <c r="AE127" s="610"/>
      <c r="AF127" s="610"/>
      <c r="AG127" s="610"/>
      <c r="AH127" s="610"/>
      <c r="AI127" s="608"/>
      <c r="AJ127" s="606"/>
      <c r="AK127" s="237"/>
      <c r="AL127" s="237"/>
      <c r="AM127" s="237"/>
      <c r="AN127" s="237"/>
      <c r="AO127" s="237"/>
      <c r="AP127" s="237"/>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607"/>
    </row>
    <row r="128" spans="3:64" s="605" customFormat="1" ht="6" customHeight="1">
      <c r="C128" s="611"/>
      <c r="D128" s="609"/>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08"/>
      <c r="AJ128" s="606"/>
      <c r="AK128" s="237"/>
      <c r="AL128" s="237"/>
      <c r="AM128" s="237"/>
      <c r="AN128" s="237"/>
      <c r="AO128" s="237"/>
      <c r="AP128" s="237"/>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607"/>
    </row>
    <row r="129" spans="3:64" s="622" customFormat="1">
      <c r="C129" s="622" t="s">
        <v>88</v>
      </c>
      <c r="D129" s="623"/>
      <c r="E129" s="624"/>
      <c r="F129" s="624"/>
      <c r="G129" s="624"/>
      <c r="H129" s="624"/>
      <c r="I129" s="624"/>
      <c r="J129" s="624"/>
      <c r="K129" s="624"/>
      <c r="L129" s="624"/>
      <c r="M129" s="624"/>
      <c r="N129" s="624"/>
      <c r="O129" s="624"/>
      <c r="P129" s="624"/>
      <c r="Q129" s="624"/>
      <c r="R129" s="624"/>
      <c r="S129" s="624"/>
      <c r="T129" s="624"/>
      <c r="U129" s="624"/>
      <c r="V129" s="624"/>
      <c r="W129" s="624"/>
      <c r="X129" s="624"/>
      <c r="Y129" s="624"/>
      <c r="Z129" s="624"/>
      <c r="AA129" s="624"/>
      <c r="AB129" s="624"/>
      <c r="AC129" s="624"/>
      <c r="AD129" s="624"/>
      <c r="AE129" s="624"/>
      <c r="AF129" s="624"/>
      <c r="AG129" s="624"/>
      <c r="AH129" s="624"/>
      <c r="AI129" s="621"/>
      <c r="AJ129" s="616"/>
      <c r="AK129" s="615"/>
      <c r="AL129" s="615"/>
      <c r="AM129" s="615"/>
      <c r="AN129" s="615"/>
      <c r="AO129" s="615"/>
      <c r="AP129" s="615"/>
      <c r="AR129" s="615"/>
      <c r="AS129" s="615"/>
      <c r="AT129" s="615"/>
      <c r="AU129" s="615"/>
      <c r="AV129" s="615"/>
      <c r="AW129" s="615"/>
      <c r="AX129" s="615"/>
      <c r="AY129" s="615"/>
      <c r="AZ129" s="615"/>
      <c r="BA129" s="615"/>
      <c r="BB129" s="615"/>
      <c r="BC129" s="615"/>
      <c r="BD129" s="615"/>
      <c r="BE129" s="615"/>
      <c r="BF129" s="615"/>
      <c r="BG129" s="615"/>
      <c r="BH129" s="615"/>
      <c r="BI129" s="615"/>
      <c r="BJ129" s="615"/>
      <c r="BK129" s="615"/>
      <c r="BL129" s="617"/>
    </row>
    <row r="130" spans="3:64" s="622" customFormat="1">
      <c r="C130" s="622" t="s">
        <v>92</v>
      </c>
      <c r="D130" s="623"/>
      <c r="E130" s="624"/>
      <c r="F130" s="624"/>
      <c r="G130" s="624"/>
      <c r="H130" s="624"/>
      <c r="I130" s="624"/>
      <c r="J130" s="624"/>
      <c r="K130" s="624"/>
      <c r="L130" s="624"/>
      <c r="M130" s="624"/>
      <c r="N130" s="624"/>
      <c r="O130" s="624"/>
      <c r="P130" s="624"/>
      <c r="Q130" s="624"/>
      <c r="R130" s="624"/>
      <c r="S130" s="624"/>
      <c r="T130" s="624"/>
      <c r="U130" s="624"/>
      <c r="V130" s="624"/>
      <c r="W130" s="624"/>
      <c r="X130" s="624"/>
      <c r="Y130" s="624"/>
      <c r="Z130" s="624"/>
      <c r="AA130" s="624"/>
      <c r="AB130" s="624"/>
      <c r="AC130" s="624"/>
      <c r="AD130" s="624"/>
      <c r="AE130" s="624"/>
      <c r="AF130" s="624"/>
      <c r="AG130" s="624"/>
      <c r="AH130" s="624"/>
      <c r="AI130" s="621"/>
      <c r="AJ130" s="616"/>
      <c r="AK130" s="615"/>
      <c r="AL130" s="615"/>
      <c r="AM130" s="615"/>
      <c r="AN130" s="615"/>
      <c r="AO130" s="615"/>
      <c r="AP130" s="615"/>
      <c r="AR130" s="615"/>
      <c r="AS130" s="615"/>
      <c r="AT130" s="615"/>
      <c r="AU130" s="615"/>
      <c r="AV130" s="615"/>
      <c r="AW130" s="615"/>
      <c r="AX130" s="615"/>
      <c r="AY130" s="615"/>
      <c r="AZ130" s="615"/>
      <c r="BA130" s="615"/>
      <c r="BB130" s="615"/>
      <c r="BC130" s="615"/>
      <c r="BD130" s="615"/>
      <c r="BE130" s="615"/>
      <c r="BF130" s="615"/>
      <c r="BG130" s="615"/>
      <c r="BH130" s="615"/>
      <c r="BI130" s="615"/>
      <c r="BJ130" s="615"/>
      <c r="BK130" s="615"/>
      <c r="BL130" s="617"/>
    </row>
    <row r="131" spans="3:64" s="622" customFormat="1" ht="6" customHeight="1">
      <c r="C131" s="625"/>
      <c r="D131" s="623"/>
      <c r="E131" s="624"/>
      <c r="F131" s="624"/>
      <c r="G131" s="624"/>
      <c r="H131" s="624"/>
      <c r="I131" s="624"/>
      <c r="J131" s="624"/>
      <c r="K131" s="624"/>
      <c r="L131" s="624"/>
      <c r="M131" s="624"/>
      <c r="N131" s="624"/>
      <c r="O131" s="624"/>
      <c r="P131" s="624"/>
      <c r="Q131" s="624"/>
      <c r="R131" s="624"/>
      <c r="S131" s="624"/>
      <c r="T131" s="624"/>
      <c r="U131" s="624"/>
      <c r="V131" s="624"/>
      <c r="W131" s="624"/>
      <c r="X131" s="624"/>
      <c r="Y131" s="624"/>
      <c r="Z131" s="624"/>
      <c r="AA131" s="624"/>
      <c r="AB131" s="624"/>
      <c r="AC131" s="624"/>
      <c r="AD131" s="624"/>
      <c r="AE131" s="624"/>
      <c r="AF131" s="624"/>
      <c r="AG131" s="624"/>
      <c r="AH131" s="624"/>
      <c r="AI131" s="621"/>
      <c r="AJ131" s="616"/>
      <c r="AK131" s="615"/>
      <c r="AL131" s="615"/>
      <c r="AM131" s="615"/>
      <c r="AN131" s="615"/>
      <c r="AO131" s="615"/>
      <c r="AP131" s="615"/>
      <c r="AR131" s="615"/>
      <c r="AS131" s="615"/>
      <c r="AT131" s="615"/>
      <c r="AU131" s="615"/>
      <c r="AV131" s="615"/>
      <c r="AW131" s="615"/>
      <c r="AX131" s="615"/>
      <c r="AY131" s="615"/>
      <c r="AZ131" s="615"/>
      <c r="BA131" s="615"/>
      <c r="BB131" s="615"/>
      <c r="BC131" s="615"/>
      <c r="BD131" s="615"/>
      <c r="BE131" s="615"/>
      <c r="BF131" s="615"/>
      <c r="BG131" s="615"/>
      <c r="BH131" s="615"/>
      <c r="BI131" s="615"/>
      <c r="BJ131" s="615"/>
      <c r="BK131" s="615"/>
      <c r="BL131" s="617"/>
    </row>
    <row r="132" spans="3:64" s="622" customFormat="1">
      <c r="C132" s="622" t="s">
        <v>73</v>
      </c>
      <c r="D132" s="623"/>
      <c r="E132" s="624"/>
      <c r="F132" s="624"/>
      <c r="G132" s="624"/>
      <c r="H132" s="624"/>
      <c r="I132" s="624"/>
      <c r="J132" s="624"/>
      <c r="K132" s="624"/>
      <c r="L132" s="624"/>
      <c r="M132" s="624"/>
      <c r="N132" s="624"/>
      <c r="O132" s="624"/>
      <c r="P132" s="624"/>
      <c r="Q132" s="624"/>
      <c r="R132" s="624"/>
      <c r="S132" s="624"/>
      <c r="T132" s="624"/>
      <c r="U132" s="624"/>
      <c r="V132" s="624"/>
      <c r="W132" s="624"/>
      <c r="X132" s="624"/>
      <c r="Y132" s="624"/>
      <c r="Z132" s="624"/>
      <c r="AA132" s="624"/>
      <c r="AB132" s="624"/>
      <c r="AC132" s="624"/>
      <c r="AD132" s="624"/>
      <c r="AE132" s="624"/>
      <c r="AF132" s="624"/>
      <c r="AG132" s="624"/>
      <c r="AH132" s="624"/>
      <c r="AI132" s="621"/>
      <c r="AJ132" s="616"/>
      <c r="AK132" s="615"/>
      <c r="AL132" s="615"/>
      <c r="AM132" s="615"/>
      <c r="AN132" s="615"/>
      <c r="AO132" s="615"/>
      <c r="AP132" s="615"/>
      <c r="AR132" s="615"/>
      <c r="AS132" s="615"/>
      <c r="AT132" s="615"/>
      <c r="AU132" s="615"/>
      <c r="AV132" s="615"/>
      <c r="AW132" s="615"/>
      <c r="AX132" s="615"/>
      <c r="AY132" s="615"/>
      <c r="AZ132" s="615"/>
      <c r="BA132" s="615"/>
      <c r="BB132" s="615"/>
      <c r="BC132" s="615"/>
      <c r="BD132" s="615"/>
      <c r="BE132" s="615"/>
      <c r="BF132" s="615"/>
      <c r="BG132" s="615"/>
      <c r="BH132" s="615"/>
      <c r="BI132" s="615"/>
      <c r="BJ132" s="615"/>
      <c r="BK132" s="615"/>
      <c r="BL132" s="617"/>
    </row>
    <row r="133" spans="3:64" s="622" customFormat="1">
      <c r="C133" s="622" t="s">
        <v>74</v>
      </c>
      <c r="D133" s="623"/>
      <c r="E133" s="624"/>
      <c r="F133" s="624"/>
      <c r="G133" s="624"/>
      <c r="H133" s="624"/>
      <c r="I133" s="624"/>
      <c r="J133" s="624"/>
      <c r="K133" s="624"/>
      <c r="L133" s="624"/>
      <c r="M133" s="624"/>
      <c r="N133" s="624"/>
      <c r="O133" s="624"/>
      <c r="P133" s="624"/>
      <c r="Q133" s="624"/>
      <c r="R133" s="624"/>
      <c r="S133" s="624"/>
      <c r="T133" s="624"/>
      <c r="U133" s="624"/>
      <c r="V133" s="624"/>
      <c r="W133" s="624"/>
      <c r="X133" s="624"/>
      <c r="Y133" s="624"/>
      <c r="Z133" s="624"/>
      <c r="AA133" s="624"/>
      <c r="AB133" s="624"/>
      <c r="AC133" s="624"/>
      <c r="AD133" s="624"/>
      <c r="AE133" s="624"/>
      <c r="AF133" s="624"/>
      <c r="AG133" s="624"/>
      <c r="AH133" s="624"/>
      <c r="AI133" s="621"/>
      <c r="AJ133" s="616"/>
      <c r="AK133" s="615"/>
      <c r="AL133" s="615"/>
      <c r="AM133" s="615"/>
      <c r="AN133" s="615"/>
      <c r="AO133" s="615"/>
      <c r="AP133" s="615"/>
      <c r="AR133" s="615"/>
      <c r="AS133" s="615"/>
      <c r="AT133" s="615"/>
      <c r="AU133" s="615"/>
      <c r="AV133" s="615"/>
      <c r="AW133" s="615"/>
      <c r="AX133" s="615"/>
      <c r="AY133" s="615"/>
      <c r="AZ133" s="615"/>
      <c r="BA133" s="615"/>
      <c r="BB133" s="615"/>
      <c r="BC133" s="615"/>
      <c r="BD133" s="615"/>
      <c r="BE133" s="615"/>
      <c r="BF133" s="615"/>
      <c r="BG133" s="615"/>
      <c r="BH133" s="615"/>
      <c r="BI133" s="615"/>
      <c r="BJ133" s="615"/>
      <c r="BK133" s="615"/>
      <c r="BL133" s="617"/>
    </row>
    <row r="134" spans="3:64" s="622" customFormat="1" ht="6" customHeight="1">
      <c r="C134" s="625"/>
      <c r="D134" s="623"/>
      <c r="E134" s="624"/>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1"/>
      <c r="AJ134" s="616"/>
      <c r="AK134" s="615"/>
      <c r="AL134" s="615"/>
      <c r="AM134" s="615"/>
      <c r="AN134" s="615"/>
      <c r="AO134" s="615"/>
      <c r="AP134" s="615"/>
      <c r="AR134" s="615"/>
      <c r="AS134" s="615"/>
      <c r="AT134" s="615"/>
      <c r="AU134" s="615"/>
      <c r="AV134" s="615"/>
      <c r="AW134" s="615"/>
      <c r="AX134" s="615"/>
      <c r="AY134" s="615"/>
      <c r="AZ134" s="615"/>
      <c r="BA134" s="615"/>
      <c r="BB134" s="615"/>
      <c r="BC134" s="615"/>
      <c r="BD134" s="615"/>
      <c r="BE134" s="615"/>
      <c r="BF134" s="615"/>
      <c r="BG134" s="615"/>
      <c r="BH134" s="615"/>
      <c r="BI134" s="615"/>
      <c r="BJ134" s="615"/>
      <c r="BK134" s="615"/>
      <c r="BL134" s="617"/>
    </row>
    <row r="135" spans="3:64" s="622" customFormat="1">
      <c r="C135" s="625" t="s">
        <v>81</v>
      </c>
      <c r="D135" s="623"/>
      <c r="E135" s="624"/>
      <c r="F135" s="624"/>
      <c r="G135" s="624"/>
      <c r="H135" s="624"/>
      <c r="I135" s="624"/>
      <c r="J135" s="624"/>
      <c r="K135" s="624"/>
      <c r="L135" s="624"/>
      <c r="M135" s="624"/>
      <c r="N135" s="624"/>
      <c r="O135" s="624"/>
      <c r="P135" s="624"/>
      <c r="Q135" s="624"/>
      <c r="R135" s="624"/>
      <c r="S135" s="624"/>
      <c r="T135" s="624"/>
      <c r="U135" s="624"/>
      <c r="V135" s="624"/>
      <c r="W135" s="624"/>
      <c r="X135" s="624"/>
      <c r="Y135" s="624"/>
      <c r="Z135" s="624"/>
      <c r="AA135" s="624"/>
      <c r="AB135" s="624"/>
      <c r="AC135" s="624"/>
      <c r="AD135" s="624"/>
      <c r="AE135" s="624"/>
      <c r="AF135" s="624"/>
      <c r="AG135" s="624"/>
      <c r="AH135" s="624"/>
      <c r="AI135" s="621"/>
      <c r="AJ135" s="616"/>
      <c r="AK135" s="615"/>
      <c r="AL135" s="615"/>
      <c r="AM135" s="615"/>
      <c r="AN135" s="615"/>
      <c r="AO135" s="615"/>
      <c r="AP135" s="615"/>
      <c r="AR135" s="615"/>
      <c r="AS135" s="615"/>
      <c r="AT135" s="615"/>
      <c r="AU135" s="615"/>
      <c r="AV135" s="615"/>
      <c r="AW135" s="615"/>
      <c r="AX135" s="615"/>
      <c r="AY135" s="615"/>
      <c r="AZ135" s="615"/>
      <c r="BA135" s="615"/>
      <c r="BB135" s="615"/>
      <c r="BC135" s="615"/>
      <c r="BD135" s="615"/>
      <c r="BE135" s="615"/>
      <c r="BF135" s="615"/>
      <c r="BG135" s="615"/>
      <c r="BH135" s="615"/>
      <c r="BI135" s="615"/>
      <c r="BJ135" s="615"/>
      <c r="BK135" s="615"/>
      <c r="BL135" s="617"/>
    </row>
    <row r="136" spans="3:64" s="622" customFormat="1">
      <c r="C136" s="622" t="s">
        <v>72</v>
      </c>
      <c r="D136" s="623"/>
      <c r="E136" s="624"/>
      <c r="F136" s="624"/>
      <c r="G136" s="624"/>
      <c r="H136" s="624"/>
      <c r="I136" s="624"/>
      <c r="J136" s="624"/>
      <c r="K136" s="624"/>
      <c r="L136" s="624"/>
      <c r="M136" s="624"/>
      <c r="N136" s="624"/>
      <c r="O136" s="624"/>
      <c r="P136" s="624"/>
      <c r="Q136" s="624"/>
      <c r="R136" s="624"/>
      <c r="S136" s="624"/>
      <c r="T136" s="624"/>
      <c r="U136" s="624"/>
      <c r="V136" s="624"/>
      <c r="W136" s="624"/>
      <c r="X136" s="624"/>
      <c r="Y136" s="624"/>
      <c r="Z136" s="624"/>
      <c r="AA136" s="624"/>
      <c r="AB136" s="624"/>
      <c r="AC136" s="624"/>
      <c r="AD136" s="624"/>
      <c r="AE136" s="624"/>
      <c r="AF136" s="624"/>
      <c r="AG136" s="624"/>
      <c r="AH136" s="624"/>
      <c r="AI136" s="621"/>
      <c r="AJ136" s="616"/>
      <c r="AK136" s="615"/>
      <c r="AL136" s="615"/>
      <c r="AM136" s="615"/>
      <c r="AN136" s="615"/>
      <c r="AO136" s="615"/>
      <c r="AP136" s="615"/>
      <c r="AR136" s="615"/>
      <c r="AS136" s="615"/>
      <c r="AT136" s="615"/>
      <c r="AU136" s="615"/>
      <c r="AV136" s="615"/>
      <c r="AW136" s="615"/>
      <c r="AX136" s="615"/>
      <c r="AY136" s="615"/>
      <c r="AZ136" s="615"/>
      <c r="BA136" s="615"/>
      <c r="BB136" s="615"/>
      <c r="BC136" s="615"/>
      <c r="BD136" s="615"/>
      <c r="BE136" s="615"/>
      <c r="BF136" s="615"/>
      <c r="BG136" s="615"/>
      <c r="BH136" s="615"/>
      <c r="BI136" s="615"/>
      <c r="BJ136" s="615"/>
      <c r="BK136" s="615"/>
      <c r="BL136" s="617"/>
    </row>
    <row r="137" spans="3:64" s="622" customFormat="1" ht="6" customHeight="1">
      <c r="C137" s="625"/>
      <c r="D137" s="623"/>
      <c r="E137" s="624"/>
      <c r="F137" s="624"/>
      <c r="G137" s="624"/>
      <c r="H137" s="624"/>
      <c r="I137" s="624"/>
      <c r="J137" s="624"/>
      <c r="K137" s="624"/>
      <c r="L137" s="624"/>
      <c r="M137" s="624"/>
      <c r="N137" s="624"/>
      <c r="O137" s="624"/>
      <c r="P137" s="624"/>
      <c r="Q137" s="624"/>
      <c r="R137" s="624"/>
      <c r="S137" s="624"/>
      <c r="T137" s="624"/>
      <c r="U137" s="624"/>
      <c r="V137" s="624"/>
      <c r="W137" s="624"/>
      <c r="X137" s="624"/>
      <c r="Y137" s="624"/>
      <c r="Z137" s="624"/>
      <c r="AA137" s="624"/>
      <c r="AB137" s="624"/>
      <c r="AC137" s="624"/>
      <c r="AD137" s="624"/>
      <c r="AE137" s="624"/>
      <c r="AF137" s="624"/>
      <c r="AG137" s="624"/>
      <c r="AH137" s="624"/>
      <c r="AI137" s="621"/>
      <c r="AJ137" s="616"/>
      <c r="AK137" s="615"/>
      <c r="AL137" s="615"/>
      <c r="AM137" s="615"/>
      <c r="AN137" s="615"/>
      <c r="AO137" s="615"/>
      <c r="AP137" s="615"/>
      <c r="AR137" s="615"/>
      <c r="AS137" s="615"/>
      <c r="AT137" s="615"/>
      <c r="AU137" s="615"/>
      <c r="AV137" s="615"/>
      <c r="AW137" s="615"/>
      <c r="AX137" s="615"/>
      <c r="AY137" s="615"/>
      <c r="AZ137" s="615"/>
      <c r="BA137" s="615"/>
      <c r="BB137" s="615"/>
      <c r="BC137" s="615"/>
      <c r="BD137" s="615"/>
      <c r="BE137" s="615"/>
      <c r="BF137" s="615"/>
      <c r="BG137" s="615"/>
      <c r="BH137" s="615"/>
      <c r="BI137" s="615"/>
      <c r="BJ137" s="615"/>
      <c r="BK137" s="615"/>
      <c r="BL137" s="617"/>
    </row>
    <row r="138" spans="3:64" s="622" customFormat="1">
      <c r="C138" s="622" t="s">
        <v>83</v>
      </c>
      <c r="D138" s="623"/>
      <c r="E138" s="624"/>
      <c r="F138" s="624"/>
      <c r="G138" s="624"/>
      <c r="H138" s="624"/>
      <c r="I138" s="624"/>
      <c r="J138" s="624"/>
      <c r="K138" s="624"/>
      <c r="L138" s="624"/>
      <c r="M138" s="624"/>
      <c r="N138" s="624"/>
      <c r="O138" s="624"/>
      <c r="P138" s="624"/>
      <c r="Q138" s="624"/>
      <c r="R138" s="624"/>
      <c r="S138" s="624"/>
      <c r="T138" s="624"/>
      <c r="U138" s="624"/>
      <c r="V138" s="624"/>
      <c r="W138" s="624"/>
      <c r="X138" s="624"/>
      <c r="Y138" s="624"/>
      <c r="Z138" s="624"/>
      <c r="AA138" s="624"/>
      <c r="AB138" s="624"/>
      <c r="AC138" s="624"/>
      <c r="AD138" s="624"/>
      <c r="AE138" s="624"/>
      <c r="AF138" s="624"/>
      <c r="AG138" s="624"/>
      <c r="AH138" s="624"/>
      <c r="AI138" s="621"/>
      <c r="AJ138" s="616"/>
      <c r="AK138" s="615"/>
      <c r="AL138" s="615"/>
      <c r="AM138" s="615"/>
      <c r="AN138" s="615"/>
      <c r="AO138" s="615"/>
      <c r="AP138" s="615"/>
      <c r="AR138" s="615"/>
      <c r="AS138" s="615"/>
      <c r="AT138" s="615"/>
      <c r="AU138" s="615"/>
      <c r="AV138" s="615"/>
      <c r="AW138" s="615"/>
      <c r="AX138" s="615"/>
      <c r="AY138" s="615"/>
      <c r="AZ138" s="615"/>
      <c r="BA138" s="615"/>
      <c r="BB138" s="615"/>
      <c r="BC138" s="615"/>
      <c r="BD138" s="615"/>
      <c r="BE138" s="615"/>
      <c r="BF138" s="615"/>
      <c r="BG138" s="615"/>
      <c r="BH138" s="615"/>
      <c r="BI138" s="615"/>
      <c r="BJ138" s="615"/>
      <c r="BK138" s="615"/>
      <c r="BL138" s="617"/>
    </row>
    <row r="139" spans="3:64" s="622" customFormat="1">
      <c r="C139" s="622" t="s">
        <v>84</v>
      </c>
      <c r="D139" s="623"/>
      <c r="E139" s="624"/>
      <c r="F139" s="624"/>
      <c r="G139" s="624"/>
      <c r="H139" s="624"/>
      <c r="I139" s="624"/>
      <c r="J139" s="624"/>
      <c r="K139" s="624"/>
      <c r="L139" s="624"/>
      <c r="M139" s="624"/>
      <c r="N139" s="624"/>
      <c r="O139" s="624"/>
      <c r="P139" s="624"/>
      <c r="Q139" s="624"/>
      <c r="R139" s="624"/>
      <c r="S139" s="624"/>
      <c r="T139" s="624"/>
      <c r="U139" s="624"/>
      <c r="V139" s="624"/>
      <c r="W139" s="624"/>
      <c r="X139" s="624"/>
      <c r="Y139" s="624"/>
      <c r="Z139" s="624"/>
      <c r="AA139" s="624"/>
      <c r="AB139" s="624"/>
      <c r="AC139" s="624"/>
      <c r="AD139" s="624"/>
      <c r="AE139" s="624"/>
      <c r="AF139" s="624"/>
      <c r="AG139" s="624"/>
      <c r="AH139" s="624"/>
      <c r="AI139" s="621"/>
      <c r="AJ139" s="616"/>
      <c r="AK139" s="615"/>
      <c r="AL139" s="615"/>
      <c r="AM139" s="615"/>
      <c r="AN139" s="615"/>
      <c r="AO139" s="615"/>
      <c r="AP139" s="615"/>
      <c r="AR139" s="615"/>
      <c r="AS139" s="615"/>
      <c r="AT139" s="615"/>
      <c r="AU139" s="615"/>
      <c r="AV139" s="615"/>
      <c r="AW139" s="615"/>
      <c r="AX139" s="615"/>
      <c r="AY139" s="615"/>
      <c r="AZ139" s="615"/>
      <c r="BA139" s="615"/>
      <c r="BB139" s="615"/>
      <c r="BC139" s="615"/>
      <c r="BD139" s="615"/>
      <c r="BE139" s="615"/>
      <c r="BF139" s="615"/>
      <c r="BG139" s="615"/>
      <c r="BH139" s="615"/>
      <c r="BI139" s="615"/>
      <c r="BJ139" s="615"/>
      <c r="BK139" s="615"/>
      <c r="BL139" s="617"/>
    </row>
    <row r="140" spans="3:64" s="605" customFormat="1" ht="6" customHeight="1">
      <c r="C140" s="611"/>
      <c r="D140" s="609"/>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08"/>
      <c r="AJ140" s="606"/>
      <c r="AK140" s="237"/>
      <c r="AL140" s="237"/>
      <c r="AM140" s="237"/>
      <c r="AN140" s="237"/>
      <c r="AO140" s="237"/>
      <c r="AP140" s="237"/>
      <c r="AR140" s="237"/>
      <c r="AS140" s="237"/>
      <c r="AT140" s="237"/>
      <c r="AU140" s="237"/>
      <c r="AV140" s="237"/>
      <c r="AW140" s="237"/>
      <c r="AX140" s="237"/>
      <c r="AY140" s="237"/>
      <c r="AZ140" s="237"/>
      <c r="BA140" s="237"/>
      <c r="BB140" s="237"/>
      <c r="BC140" s="237"/>
      <c r="BD140" s="237"/>
      <c r="BE140" s="237"/>
      <c r="BF140" s="237"/>
      <c r="BG140" s="237"/>
      <c r="BH140" s="237"/>
      <c r="BI140" s="237"/>
      <c r="BJ140" s="237"/>
      <c r="BK140" s="237"/>
      <c r="BL140" s="607"/>
    </row>
    <row r="141" spans="3:64" s="622" customFormat="1">
      <c r="C141" s="622" t="s">
        <v>586</v>
      </c>
      <c r="D141" s="623"/>
      <c r="E141" s="624"/>
      <c r="F141" s="624"/>
      <c r="G141" s="624"/>
      <c r="H141" s="624"/>
      <c r="I141" s="624"/>
      <c r="J141" s="624"/>
      <c r="K141" s="624"/>
      <c r="L141" s="624"/>
      <c r="M141" s="624"/>
      <c r="N141" s="624"/>
      <c r="O141" s="624"/>
      <c r="P141" s="624"/>
      <c r="Q141" s="624"/>
      <c r="R141" s="624"/>
      <c r="S141" s="624"/>
      <c r="T141" s="624"/>
      <c r="U141" s="624"/>
      <c r="V141" s="624"/>
      <c r="W141" s="624"/>
      <c r="X141" s="624"/>
      <c r="Y141" s="624"/>
      <c r="Z141" s="624"/>
      <c r="AA141" s="624"/>
      <c r="AB141" s="624"/>
      <c r="AC141" s="624"/>
      <c r="AD141" s="624"/>
      <c r="AE141" s="624"/>
      <c r="AF141" s="624"/>
      <c r="AG141" s="624"/>
      <c r="AH141" s="624"/>
      <c r="AI141" s="621"/>
      <c r="AJ141" s="616"/>
      <c r="AK141" s="615"/>
      <c r="AL141" s="615"/>
      <c r="AM141" s="615"/>
      <c r="AN141" s="615"/>
      <c r="AO141" s="615"/>
      <c r="AP141" s="615"/>
      <c r="AR141" s="615"/>
      <c r="AS141" s="615"/>
      <c r="AT141" s="615"/>
      <c r="AU141" s="615"/>
      <c r="AV141" s="615"/>
      <c r="AW141" s="615"/>
      <c r="AX141" s="615"/>
      <c r="AY141" s="615"/>
      <c r="AZ141" s="615"/>
      <c r="BA141" s="615"/>
      <c r="BB141" s="615"/>
      <c r="BC141" s="615"/>
      <c r="BD141" s="615"/>
      <c r="BE141" s="615"/>
      <c r="BF141" s="615"/>
      <c r="BG141" s="615"/>
      <c r="BH141" s="615"/>
      <c r="BI141" s="615"/>
      <c r="BJ141" s="615"/>
      <c r="BK141" s="615"/>
      <c r="BL141" s="617"/>
    </row>
    <row r="142" spans="3:64" s="605" customFormat="1">
      <c r="C142" s="622" t="s">
        <v>587</v>
      </c>
      <c r="D142" s="609"/>
      <c r="E142" s="610"/>
      <c r="F142" s="610"/>
      <c r="G142" s="610"/>
      <c r="H142" s="610"/>
      <c r="I142" s="610"/>
      <c r="J142" s="610"/>
      <c r="K142" s="610"/>
      <c r="L142" s="610"/>
      <c r="M142" s="610"/>
      <c r="N142" s="610"/>
      <c r="O142" s="610"/>
      <c r="P142" s="610"/>
      <c r="Q142" s="610"/>
      <c r="R142" s="610"/>
      <c r="S142" s="610"/>
      <c r="T142" s="610"/>
      <c r="U142" s="610"/>
      <c r="V142" s="610"/>
      <c r="W142" s="610"/>
      <c r="X142" s="610"/>
      <c r="Y142" s="610"/>
      <c r="Z142" s="610"/>
      <c r="AA142" s="610"/>
      <c r="AB142" s="610"/>
      <c r="AC142" s="610"/>
      <c r="AD142" s="610"/>
      <c r="AE142" s="610"/>
      <c r="AF142" s="610"/>
      <c r="AG142" s="610"/>
      <c r="AH142" s="610"/>
      <c r="AI142" s="608"/>
      <c r="AJ142" s="606"/>
      <c r="AK142" s="237"/>
      <c r="AL142" s="237"/>
      <c r="AM142" s="237"/>
      <c r="AN142" s="237"/>
      <c r="AO142" s="237"/>
      <c r="AP142" s="237"/>
      <c r="AR142" s="237"/>
      <c r="AS142" s="237"/>
      <c r="AT142" s="237"/>
      <c r="AU142" s="237"/>
      <c r="AV142" s="237"/>
      <c r="AW142" s="237"/>
      <c r="AX142" s="237"/>
      <c r="AY142" s="237"/>
      <c r="AZ142" s="237"/>
      <c r="BA142" s="237"/>
      <c r="BB142" s="237"/>
      <c r="BC142" s="237"/>
      <c r="BD142" s="237"/>
      <c r="BE142" s="237"/>
      <c r="BF142" s="237"/>
      <c r="BG142" s="237"/>
      <c r="BH142" s="237"/>
      <c r="BI142" s="237"/>
      <c r="BJ142" s="237"/>
      <c r="BK142" s="237"/>
      <c r="BL142" s="607"/>
    </row>
    <row r="143" spans="3:64" s="605" customFormat="1" ht="6" customHeight="1">
      <c r="C143" s="611"/>
      <c r="D143" s="609"/>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08"/>
      <c r="AJ143" s="606"/>
      <c r="AK143" s="237"/>
      <c r="AL143" s="237"/>
      <c r="AM143" s="237"/>
      <c r="AN143" s="237"/>
      <c r="AO143" s="237"/>
      <c r="AP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607"/>
    </row>
    <row r="144" spans="3:64" s="622" customFormat="1" ht="6" customHeight="1">
      <c r="C144" s="625"/>
      <c r="D144" s="623"/>
      <c r="E144" s="624"/>
      <c r="F144" s="624"/>
      <c r="G144" s="624"/>
      <c r="H144" s="624"/>
      <c r="I144" s="624"/>
      <c r="J144" s="624"/>
      <c r="K144" s="624"/>
      <c r="L144" s="624"/>
      <c r="M144" s="624"/>
      <c r="N144" s="624"/>
      <c r="O144" s="624"/>
      <c r="P144" s="624"/>
      <c r="Q144" s="624"/>
      <c r="R144" s="624"/>
      <c r="S144" s="624"/>
      <c r="T144" s="624"/>
      <c r="U144" s="624"/>
      <c r="V144" s="624"/>
      <c r="W144" s="624"/>
      <c r="X144" s="624"/>
      <c r="Y144" s="624"/>
      <c r="Z144" s="624"/>
      <c r="AA144" s="624"/>
      <c r="AB144" s="624"/>
      <c r="AC144" s="624"/>
      <c r="AD144" s="624"/>
      <c r="AE144" s="624"/>
      <c r="AF144" s="624"/>
      <c r="AG144" s="624"/>
      <c r="AH144" s="624"/>
      <c r="AI144" s="621"/>
      <c r="AJ144" s="616"/>
      <c r="AK144" s="615"/>
      <c r="AL144" s="615"/>
      <c r="AM144" s="615"/>
      <c r="AN144" s="615"/>
      <c r="AO144" s="615"/>
      <c r="AP144" s="615"/>
      <c r="AR144" s="615"/>
      <c r="AS144" s="615"/>
      <c r="AT144" s="615"/>
      <c r="AU144" s="615"/>
      <c r="AV144" s="615"/>
      <c r="AW144" s="615"/>
      <c r="AX144" s="615"/>
      <c r="AY144" s="615"/>
      <c r="AZ144" s="615"/>
      <c r="BA144" s="615"/>
      <c r="BB144" s="615"/>
      <c r="BC144" s="615"/>
      <c r="BD144" s="615"/>
      <c r="BE144" s="615"/>
      <c r="BF144" s="615"/>
      <c r="BG144" s="615"/>
      <c r="BH144" s="615"/>
      <c r="BI144" s="615"/>
      <c r="BJ144" s="615"/>
      <c r="BK144" s="615"/>
      <c r="BL144" s="617"/>
    </row>
    <row r="145" spans="3:64" s="622" customFormat="1">
      <c r="C145" s="622" t="s">
        <v>89</v>
      </c>
      <c r="D145" s="623"/>
      <c r="E145" s="624"/>
      <c r="F145" s="624"/>
      <c r="G145" s="624"/>
      <c r="H145" s="624"/>
      <c r="I145" s="624"/>
      <c r="J145" s="624"/>
      <c r="K145" s="624"/>
      <c r="L145" s="624"/>
      <c r="M145" s="624"/>
      <c r="N145" s="624"/>
      <c r="O145" s="624"/>
      <c r="P145" s="624"/>
      <c r="Q145" s="624"/>
      <c r="R145" s="624"/>
      <c r="S145" s="624"/>
      <c r="T145" s="624"/>
      <c r="U145" s="624"/>
      <c r="V145" s="624"/>
      <c r="W145" s="624"/>
      <c r="X145" s="624"/>
      <c r="Y145" s="624"/>
      <c r="Z145" s="624"/>
      <c r="AA145" s="624"/>
      <c r="AB145" s="624"/>
      <c r="AC145" s="624"/>
      <c r="AD145" s="624"/>
      <c r="AE145" s="624"/>
      <c r="AF145" s="624"/>
      <c r="AG145" s="624"/>
      <c r="AH145" s="624"/>
      <c r="AI145" s="621"/>
      <c r="AJ145" s="616"/>
      <c r="AK145" s="615"/>
      <c r="AL145" s="615"/>
      <c r="AM145" s="615"/>
      <c r="AN145" s="615"/>
      <c r="AO145" s="615"/>
      <c r="AP145" s="615"/>
      <c r="AR145" s="615"/>
      <c r="AS145" s="615"/>
      <c r="AT145" s="615"/>
      <c r="AU145" s="615"/>
      <c r="AV145" s="615"/>
      <c r="AW145" s="615"/>
      <c r="AX145" s="615"/>
      <c r="AY145" s="615"/>
      <c r="AZ145" s="615"/>
      <c r="BA145" s="615"/>
      <c r="BB145" s="615"/>
      <c r="BC145" s="615"/>
      <c r="BD145" s="615"/>
      <c r="BE145" s="615"/>
      <c r="BF145" s="615"/>
      <c r="BG145" s="615"/>
      <c r="BH145" s="615"/>
      <c r="BI145" s="615"/>
      <c r="BJ145" s="615"/>
      <c r="BK145" s="615"/>
      <c r="BL145" s="617"/>
    </row>
    <row r="146" spans="3:64" s="622" customFormat="1">
      <c r="C146" s="622" t="s">
        <v>93</v>
      </c>
      <c r="D146" s="623"/>
      <c r="E146" s="624"/>
      <c r="F146" s="624"/>
      <c r="G146" s="624"/>
      <c r="H146" s="624"/>
      <c r="I146" s="624"/>
      <c r="J146" s="624"/>
      <c r="K146" s="624"/>
      <c r="L146" s="624"/>
      <c r="M146" s="624"/>
      <c r="N146" s="624"/>
      <c r="O146" s="624"/>
      <c r="P146" s="624"/>
      <c r="Q146" s="624"/>
      <c r="R146" s="624"/>
      <c r="S146" s="624"/>
      <c r="T146" s="624"/>
      <c r="U146" s="624"/>
      <c r="V146" s="624"/>
      <c r="W146" s="624"/>
      <c r="X146" s="624"/>
      <c r="Y146" s="624"/>
      <c r="Z146" s="624"/>
      <c r="AA146" s="624"/>
      <c r="AB146" s="624"/>
      <c r="AC146" s="624"/>
      <c r="AD146" s="624"/>
      <c r="AE146" s="624"/>
      <c r="AF146" s="624"/>
      <c r="AG146" s="624"/>
      <c r="AH146" s="624"/>
      <c r="AI146" s="621"/>
      <c r="AJ146" s="616"/>
      <c r="AK146" s="615"/>
      <c r="AL146" s="615"/>
      <c r="AM146" s="615"/>
      <c r="AN146" s="615"/>
      <c r="AO146" s="615"/>
      <c r="AP146" s="615"/>
      <c r="AR146" s="615"/>
      <c r="AS146" s="615"/>
      <c r="AT146" s="615"/>
      <c r="AU146" s="615"/>
      <c r="AV146" s="615"/>
      <c r="AW146" s="615"/>
      <c r="AX146" s="615"/>
      <c r="AY146" s="615"/>
      <c r="AZ146" s="615"/>
      <c r="BA146" s="615"/>
      <c r="BB146" s="615"/>
      <c r="BC146" s="615"/>
      <c r="BD146" s="615"/>
      <c r="BE146" s="615"/>
      <c r="BF146" s="615"/>
      <c r="BG146" s="615"/>
      <c r="BH146" s="615"/>
      <c r="BI146" s="615"/>
      <c r="BJ146" s="615"/>
      <c r="BK146" s="615"/>
      <c r="BL146" s="617"/>
    </row>
    <row r="147" spans="3:64" s="622" customFormat="1" ht="6" customHeight="1">
      <c r="C147" s="625"/>
      <c r="D147" s="623"/>
      <c r="E147" s="624"/>
      <c r="F147" s="624"/>
      <c r="G147" s="624"/>
      <c r="H147" s="624"/>
      <c r="I147" s="624"/>
      <c r="J147" s="624"/>
      <c r="K147" s="624"/>
      <c r="L147" s="624"/>
      <c r="M147" s="624"/>
      <c r="N147" s="624"/>
      <c r="O147" s="624"/>
      <c r="P147" s="624"/>
      <c r="Q147" s="624"/>
      <c r="R147" s="624"/>
      <c r="S147" s="624"/>
      <c r="T147" s="624"/>
      <c r="U147" s="624"/>
      <c r="V147" s="624"/>
      <c r="W147" s="624"/>
      <c r="X147" s="624"/>
      <c r="Y147" s="624"/>
      <c r="Z147" s="624"/>
      <c r="AA147" s="624"/>
      <c r="AB147" s="624"/>
      <c r="AC147" s="624"/>
      <c r="AD147" s="624"/>
      <c r="AE147" s="624"/>
      <c r="AF147" s="624"/>
      <c r="AG147" s="624"/>
      <c r="AH147" s="624"/>
      <c r="AI147" s="621"/>
      <c r="AJ147" s="616"/>
      <c r="AK147" s="615"/>
      <c r="AL147" s="615"/>
      <c r="AM147" s="615"/>
      <c r="AN147" s="615"/>
      <c r="AO147" s="615"/>
      <c r="AP147" s="615"/>
      <c r="AR147" s="615"/>
      <c r="AS147" s="615"/>
      <c r="AT147" s="615"/>
      <c r="AU147" s="615"/>
      <c r="AV147" s="615"/>
      <c r="AW147" s="615"/>
      <c r="AX147" s="615"/>
      <c r="AY147" s="615"/>
      <c r="AZ147" s="615"/>
      <c r="BA147" s="615"/>
      <c r="BB147" s="615"/>
      <c r="BC147" s="615"/>
      <c r="BD147" s="615"/>
      <c r="BE147" s="615"/>
      <c r="BF147" s="615"/>
      <c r="BG147" s="615"/>
      <c r="BH147" s="615"/>
      <c r="BI147" s="615"/>
      <c r="BJ147" s="615"/>
      <c r="BK147" s="615"/>
      <c r="BL147" s="617"/>
    </row>
    <row r="148" spans="3:64" s="622" customFormat="1">
      <c r="C148" s="625" t="s">
        <v>85</v>
      </c>
      <c r="D148" s="623"/>
      <c r="E148" s="624"/>
      <c r="F148" s="624"/>
      <c r="G148" s="624"/>
      <c r="H148" s="624"/>
      <c r="I148" s="624"/>
      <c r="J148" s="624"/>
      <c r="K148" s="624"/>
      <c r="L148" s="624"/>
      <c r="M148" s="624"/>
      <c r="N148" s="624"/>
      <c r="O148" s="624"/>
      <c r="P148" s="624"/>
      <c r="Q148" s="624"/>
      <c r="R148" s="624"/>
      <c r="S148" s="624"/>
      <c r="T148" s="624"/>
      <c r="U148" s="624"/>
      <c r="V148" s="624"/>
      <c r="W148" s="624"/>
      <c r="X148" s="624"/>
      <c r="Y148" s="624"/>
      <c r="Z148" s="624"/>
      <c r="AA148" s="624"/>
      <c r="AB148" s="624"/>
      <c r="AC148" s="624"/>
      <c r="AD148" s="624"/>
      <c r="AE148" s="624"/>
      <c r="AF148" s="624"/>
      <c r="AG148" s="624"/>
      <c r="AH148" s="624"/>
      <c r="AI148" s="621"/>
      <c r="AJ148" s="616"/>
      <c r="AK148" s="615"/>
      <c r="AL148" s="615"/>
      <c r="AM148" s="615"/>
      <c r="AN148" s="615"/>
      <c r="AO148" s="615"/>
      <c r="AP148" s="615"/>
      <c r="AR148" s="615"/>
      <c r="AS148" s="615"/>
      <c r="AT148" s="615"/>
      <c r="AU148" s="615"/>
      <c r="AV148" s="615"/>
      <c r="AW148" s="615"/>
      <c r="AX148" s="615"/>
      <c r="AY148" s="615"/>
      <c r="AZ148" s="615"/>
      <c r="BA148" s="615"/>
      <c r="BB148" s="615"/>
      <c r="BC148" s="615"/>
      <c r="BD148" s="615"/>
      <c r="BE148" s="615"/>
      <c r="BF148" s="615"/>
      <c r="BG148" s="615"/>
      <c r="BH148" s="615"/>
      <c r="BI148" s="615"/>
      <c r="BJ148" s="615"/>
      <c r="BK148" s="615"/>
      <c r="BL148" s="617"/>
    </row>
    <row r="149" spans="3:64" s="622" customFormat="1">
      <c r="C149" s="622" t="s">
        <v>86</v>
      </c>
      <c r="D149" s="623"/>
      <c r="E149" s="624"/>
      <c r="F149" s="624"/>
      <c r="G149" s="624"/>
      <c r="H149" s="624"/>
      <c r="I149" s="624"/>
      <c r="J149" s="624"/>
      <c r="K149" s="624"/>
      <c r="L149" s="624"/>
      <c r="M149" s="624"/>
      <c r="N149" s="624"/>
      <c r="O149" s="624"/>
      <c r="P149" s="624"/>
      <c r="Q149" s="624"/>
      <c r="R149" s="624"/>
      <c r="S149" s="624"/>
      <c r="T149" s="624"/>
      <c r="U149" s="624"/>
      <c r="V149" s="624"/>
      <c r="W149" s="624"/>
      <c r="X149" s="624"/>
      <c r="Y149" s="624"/>
      <c r="Z149" s="624"/>
      <c r="AA149" s="624"/>
      <c r="AB149" s="624"/>
      <c r="AC149" s="624"/>
      <c r="AD149" s="624"/>
      <c r="AE149" s="624"/>
      <c r="AF149" s="624"/>
      <c r="AG149" s="624"/>
      <c r="AH149" s="624"/>
      <c r="AI149" s="621"/>
      <c r="AJ149" s="616"/>
      <c r="AK149" s="615"/>
      <c r="AL149" s="615"/>
      <c r="AM149" s="615"/>
      <c r="AN149" s="615"/>
      <c r="AO149" s="615"/>
      <c r="AP149" s="615"/>
      <c r="AR149" s="615"/>
      <c r="AS149" s="615"/>
      <c r="AT149" s="615"/>
      <c r="AU149" s="615"/>
      <c r="AV149" s="615"/>
      <c r="AW149" s="615"/>
      <c r="AX149" s="615"/>
      <c r="AY149" s="615"/>
      <c r="AZ149" s="615"/>
      <c r="BA149" s="615"/>
      <c r="BB149" s="615"/>
      <c r="BC149" s="615"/>
      <c r="BD149" s="615"/>
      <c r="BE149" s="615"/>
      <c r="BF149" s="615"/>
      <c r="BG149" s="615"/>
      <c r="BH149" s="615"/>
      <c r="BI149" s="615"/>
      <c r="BJ149" s="615"/>
      <c r="BK149" s="615"/>
      <c r="BL149" s="617"/>
    </row>
    <row r="150" spans="3:64" s="622" customFormat="1" ht="6" customHeight="1">
      <c r="C150" s="625"/>
      <c r="D150" s="623"/>
      <c r="E150" s="624"/>
      <c r="F150" s="624"/>
      <c r="G150" s="624"/>
      <c r="H150" s="624"/>
      <c r="I150" s="624"/>
      <c r="J150" s="624"/>
      <c r="K150" s="624"/>
      <c r="L150" s="624"/>
      <c r="M150" s="624"/>
      <c r="N150" s="624"/>
      <c r="O150" s="624"/>
      <c r="P150" s="624"/>
      <c r="Q150" s="624"/>
      <c r="R150" s="624"/>
      <c r="S150" s="624"/>
      <c r="T150" s="624"/>
      <c r="U150" s="624"/>
      <c r="V150" s="624"/>
      <c r="W150" s="624"/>
      <c r="X150" s="624"/>
      <c r="Y150" s="624"/>
      <c r="Z150" s="624"/>
      <c r="AA150" s="624"/>
      <c r="AB150" s="624"/>
      <c r="AC150" s="624"/>
      <c r="AD150" s="624"/>
      <c r="AE150" s="624"/>
      <c r="AF150" s="624"/>
      <c r="AG150" s="624"/>
      <c r="AH150" s="624"/>
      <c r="AI150" s="621"/>
      <c r="AJ150" s="616"/>
      <c r="AK150" s="615"/>
      <c r="AL150" s="615"/>
      <c r="AM150" s="615"/>
      <c r="AN150" s="615"/>
      <c r="AO150" s="615"/>
      <c r="AP150" s="615"/>
      <c r="AR150" s="615"/>
      <c r="AS150" s="615"/>
      <c r="AT150" s="615"/>
      <c r="AU150" s="615"/>
      <c r="AV150" s="615"/>
      <c r="AW150" s="615"/>
      <c r="AX150" s="615"/>
      <c r="AY150" s="615"/>
      <c r="AZ150" s="615"/>
      <c r="BA150" s="615"/>
      <c r="BB150" s="615"/>
      <c r="BC150" s="615"/>
      <c r="BD150" s="615"/>
      <c r="BE150" s="615"/>
      <c r="BF150" s="615"/>
      <c r="BG150" s="615"/>
      <c r="BH150" s="615"/>
      <c r="BI150" s="615"/>
      <c r="BJ150" s="615"/>
      <c r="BK150" s="615"/>
      <c r="BL150" s="617"/>
    </row>
    <row r="151" spans="3:64" s="622" customFormat="1">
      <c r="C151" s="625" t="s">
        <v>90</v>
      </c>
      <c r="D151" s="623"/>
      <c r="E151" s="624"/>
      <c r="F151" s="624"/>
      <c r="G151" s="624"/>
      <c r="H151" s="624"/>
      <c r="I151" s="624"/>
      <c r="J151" s="624"/>
      <c r="K151" s="624"/>
      <c r="L151" s="624"/>
      <c r="M151" s="624"/>
      <c r="N151" s="624"/>
      <c r="O151" s="624"/>
      <c r="P151" s="624"/>
      <c r="Q151" s="624"/>
      <c r="R151" s="624"/>
      <c r="S151" s="624"/>
      <c r="T151" s="624"/>
      <c r="U151" s="624"/>
      <c r="V151" s="624"/>
      <c r="W151" s="624"/>
      <c r="X151" s="624"/>
      <c r="Y151" s="624"/>
      <c r="Z151" s="624"/>
      <c r="AA151" s="624"/>
      <c r="AB151" s="624"/>
      <c r="AC151" s="624"/>
      <c r="AD151" s="624"/>
      <c r="AE151" s="624"/>
      <c r="AF151" s="624"/>
      <c r="AG151" s="624"/>
      <c r="AH151" s="624"/>
      <c r="AI151" s="621"/>
      <c r="AJ151" s="616"/>
      <c r="AK151" s="615"/>
      <c r="AL151" s="615"/>
      <c r="AM151" s="615"/>
      <c r="AN151" s="615"/>
      <c r="AO151" s="615"/>
      <c r="AP151" s="615"/>
      <c r="AR151" s="615"/>
      <c r="AS151" s="615"/>
      <c r="AT151" s="615"/>
      <c r="AU151" s="615"/>
      <c r="AV151" s="615"/>
      <c r="AW151" s="615"/>
      <c r="AX151" s="615"/>
      <c r="AY151" s="615"/>
      <c r="AZ151" s="615"/>
      <c r="BA151" s="615"/>
      <c r="BB151" s="615"/>
      <c r="BC151" s="615"/>
      <c r="BD151" s="615"/>
      <c r="BE151" s="615"/>
      <c r="BF151" s="615"/>
      <c r="BG151" s="615"/>
      <c r="BH151" s="615"/>
      <c r="BI151" s="615"/>
      <c r="BJ151" s="615"/>
      <c r="BK151" s="615"/>
      <c r="BL151" s="617"/>
    </row>
    <row r="152" spans="3:64" s="622" customFormat="1">
      <c r="C152" s="622" t="s">
        <v>91</v>
      </c>
      <c r="D152" s="623"/>
      <c r="E152" s="624"/>
      <c r="F152" s="624"/>
      <c r="G152" s="624"/>
      <c r="H152" s="624"/>
      <c r="I152" s="624"/>
      <c r="J152" s="624"/>
      <c r="K152" s="624"/>
      <c r="L152" s="624"/>
      <c r="M152" s="624"/>
      <c r="N152" s="624"/>
      <c r="O152" s="624"/>
      <c r="P152" s="624"/>
      <c r="Q152" s="624"/>
      <c r="R152" s="624"/>
      <c r="S152" s="624"/>
      <c r="T152" s="624"/>
      <c r="U152" s="624"/>
      <c r="V152" s="624"/>
      <c r="W152" s="624"/>
      <c r="X152" s="624"/>
      <c r="Y152" s="624"/>
      <c r="Z152" s="624"/>
      <c r="AA152" s="624"/>
      <c r="AB152" s="624"/>
      <c r="AC152" s="624"/>
      <c r="AD152" s="624"/>
      <c r="AE152" s="624"/>
      <c r="AF152" s="624"/>
      <c r="AG152" s="624"/>
      <c r="AH152" s="624"/>
      <c r="AI152" s="621"/>
      <c r="AJ152" s="616"/>
      <c r="AK152" s="615"/>
      <c r="AL152" s="615"/>
      <c r="AM152" s="615"/>
      <c r="AN152" s="615"/>
      <c r="AO152" s="615"/>
      <c r="AP152" s="615"/>
      <c r="AR152" s="615"/>
      <c r="AS152" s="615"/>
      <c r="AT152" s="615"/>
      <c r="AU152" s="615"/>
      <c r="AV152" s="615"/>
      <c r="AW152" s="615"/>
      <c r="AX152" s="615"/>
      <c r="AY152" s="615"/>
      <c r="AZ152" s="615"/>
      <c r="BA152" s="615"/>
      <c r="BB152" s="615"/>
      <c r="BC152" s="615"/>
      <c r="BD152" s="615"/>
      <c r="BE152" s="615"/>
      <c r="BF152" s="615"/>
      <c r="BG152" s="615"/>
      <c r="BH152" s="615"/>
      <c r="BI152" s="615"/>
      <c r="BJ152" s="615"/>
      <c r="BK152" s="615"/>
      <c r="BL152" s="617"/>
    </row>
    <row r="153" spans="3:64" s="622" customFormat="1" ht="6" customHeight="1">
      <c r="C153" s="625"/>
      <c r="D153" s="623"/>
      <c r="E153" s="624"/>
      <c r="F153" s="624"/>
      <c r="G153" s="624"/>
      <c r="H153" s="624"/>
      <c r="I153" s="624"/>
      <c r="J153" s="624"/>
      <c r="K153" s="624"/>
      <c r="L153" s="624"/>
      <c r="M153" s="624"/>
      <c r="N153" s="624"/>
      <c r="O153" s="624"/>
      <c r="P153" s="624"/>
      <c r="Q153" s="624"/>
      <c r="R153" s="624"/>
      <c r="S153" s="624"/>
      <c r="T153" s="624"/>
      <c r="U153" s="624"/>
      <c r="V153" s="624"/>
      <c r="W153" s="624"/>
      <c r="X153" s="624"/>
      <c r="Y153" s="624"/>
      <c r="Z153" s="624"/>
      <c r="AA153" s="624"/>
      <c r="AB153" s="624"/>
      <c r="AC153" s="624"/>
      <c r="AD153" s="624"/>
      <c r="AE153" s="624"/>
      <c r="AF153" s="624"/>
      <c r="AG153" s="624"/>
      <c r="AH153" s="624"/>
      <c r="AI153" s="621"/>
      <c r="AJ153" s="616"/>
      <c r="AK153" s="615"/>
      <c r="AL153" s="615"/>
      <c r="AM153" s="615"/>
      <c r="AN153" s="615"/>
      <c r="AO153" s="615"/>
      <c r="AP153" s="615"/>
      <c r="AR153" s="615"/>
      <c r="AS153" s="615"/>
      <c r="AT153" s="615"/>
      <c r="AU153" s="615"/>
      <c r="AV153" s="615"/>
      <c r="AW153" s="615"/>
      <c r="AX153" s="615"/>
      <c r="AY153" s="615"/>
      <c r="AZ153" s="615"/>
      <c r="BA153" s="615"/>
      <c r="BB153" s="615"/>
      <c r="BC153" s="615"/>
      <c r="BD153" s="615"/>
      <c r="BE153" s="615"/>
      <c r="BF153" s="615"/>
      <c r="BG153" s="615"/>
      <c r="BH153" s="615"/>
      <c r="BI153" s="615"/>
      <c r="BJ153" s="615"/>
      <c r="BK153" s="615"/>
      <c r="BL153" s="617"/>
    </row>
    <row r="154" spans="3:64" s="619" customFormat="1">
      <c r="C154" s="634" t="s">
        <v>82</v>
      </c>
      <c r="D154" s="623"/>
      <c r="E154" s="620"/>
      <c r="F154" s="624"/>
      <c r="G154" s="624"/>
      <c r="H154" s="624"/>
      <c r="I154" s="624"/>
      <c r="J154" s="624"/>
      <c r="K154" s="624"/>
      <c r="L154" s="624"/>
      <c r="M154" s="624"/>
      <c r="N154" s="624"/>
      <c r="O154" s="624"/>
      <c r="P154" s="624"/>
      <c r="Q154" s="624"/>
      <c r="R154" s="624"/>
      <c r="S154" s="624"/>
      <c r="T154" s="624"/>
      <c r="U154" s="624"/>
      <c r="V154" s="624"/>
      <c r="W154" s="624"/>
      <c r="X154" s="624"/>
      <c r="Y154" s="624"/>
      <c r="Z154" s="624"/>
      <c r="AA154" s="624"/>
      <c r="AB154" s="624"/>
      <c r="AC154" s="624"/>
      <c r="AD154" s="624"/>
      <c r="AE154" s="624"/>
      <c r="AF154" s="624"/>
      <c r="AG154" s="624"/>
      <c r="AH154" s="624"/>
      <c r="AI154" s="621"/>
      <c r="AJ154" s="616"/>
      <c r="AK154" s="615"/>
      <c r="AL154" s="615"/>
      <c r="AM154" s="615"/>
      <c r="AN154" s="615"/>
      <c r="AO154" s="615"/>
      <c r="AP154" s="615"/>
      <c r="AR154" s="615"/>
      <c r="AS154" s="615"/>
      <c r="AT154" s="615"/>
      <c r="AU154" s="615"/>
      <c r="AV154" s="615"/>
      <c r="AW154" s="615"/>
      <c r="AX154" s="615"/>
      <c r="AY154" s="615"/>
      <c r="AZ154" s="615"/>
      <c r="BA154" s="615"/>
      <c r="BB154" s="615"/>
      <c r="BC154" s="615"/>
      <c r="BD154" s="615"/>
      <c r="BE154" s="615"/>
      <c r="BF154" s="615"/>
      <c r="BG154" s="615"/>
      <c r="BH154" s="615"/>
      <c r="BI154" s="615"/>
      <c r="BJ154" s="615"/>
      <c r="BK154" s="615"/>
      <c r="BL154" s="617"/>
    </row>
    <row r="155" spans="3:64" s="622" customFormat="1">
      <c r="C155" s="634" t="s">
        <v>62</v>
      </c>
      <c r="E155" s="635"/>
      <c r="F155" s="621"/>
      <c r="G155" s="636"/>
      <c r="H155" s="636"/>
      <c r="I155" s="636"/>
      <c r="J155" s="636"/>
      <c r="K155" s="636"/>
      <c r="L155" s="636"/>
      <c r="M155" s="636"/>
      <c r="N155" s="636"/>
      <c r="O155" s="636"/>
      <c r="P155" s="636"/>
      <c r="Q155" s="636"/>
      <c r="R155" s="636"/>
      <c r="S155" s="636"/>
      <c r="T155" s="636"/>
      <c r="U155" s="621"/>
      <c r="V155" s="636"/>
      <c r="W155" s="636"/>
      <c r="X155" s="636"/>
      <c r="Y155" s="636"/>
      <c r="Z155" s="636"/>
      <c r="AA155" s="636"/>
      <c r="AB155" s="636"/>
      <c r="AC155" s="636"/>
      <c r="AD155" s="636"/>
      <c r="AE155" s="636"/>
      <c r="AF155" s="636"/>
      <c r="AG155" s="636"/>
      <c r="AH155" s="636"/>
      <c r="AI155" s="621"/>
      <c r="AJ155" s="616"/>
      <c r="AK155" s="615"/>
      <c r="AL155" s="615"/>
      <c r="AM155" s="615"/>
      <c r="AN155" s="615"/>
      <c r="AO155" s="615"/>
      <c r="AP155" s="615"/>
      <c r="AR155" s="615"/>
      <c r="AS155" s="615"/>
      <c r="AT155" s="615"/>
      <c r="AU155" s="615"/>
      <c r="AV155" s="615"/>
      <c r="AW155" s="615"/>
      <c r="AX155" s="615"/>
      <c r="AY155" s="615"/>
      <c r="AZ155" s="615"/>
      <c r="BA155" s="615"/>
      <c r="BB155" s="615"/>
      <c r="BC155" s="615"/>
      <c r="BD155" s="615"/>
      <c r="BE155" s="615"/>
      <c r="BF155" s="615"/>
      <c r="BG155" s="615"/>
      <c r="BH155" s="615"/>
      <c r="BI155" s="615"/>
      <c r="BJ155" s="615"/>
      <c r="BK155" s="615"/>
      <c r="BL155" s="617"/>
    </row>
    <row r="156" spans="3:64" s="605" customFormat="1">
      <c r="C156" s="612"/>
      <c r="E156" s="613"/>
      <c r="F156" s="608"/>
      <c r="U156" s="608"/>
      <c r="AI156" s="608"/>
      <c r="AJ156" s="606"/>
      <c r="AK156" s="237"/>
      <c r="AL156" s="237"/>
      <c r="AM156" s="237"/>
      <c r="AN156" s="237"/>
      <c r="AO156" s="237"/>
      <c r="AP156" s="237"/>
      <c r="AQ156" s="237"/>
      <c r="AR156" s="237"/>
      <c r="AS156" s="237"/>
      <c r="AT156" s="237"/>
      <c r="AU156" s="237"/>
      <c r="AV156" s="237"/>
      <c r="AW156" s="237"/>
      <c r="AX156" s="237"/>
      <c r="AY156" s="237"/>
      <c r="AZ156" s="237"/>
      <c r="BA156" s="237"/>
      <c r="BB156" s="237"/>
      <c r="BC156" s="237"/>
      <c r="BD156" s="237"/>
      <c r="BE156" s="237"/>
      <c r="BF156" s="237"/>
      <c r="BG156" s="237"/>
      <c r="BH156" s="237"/>
      <c r="BI156" s="237"/>
      <c r="BJ156" s="237"/>
      <c r="BK156" s="237"/>
      <c r="BL156" s="607"/>
    </row>
    <row r="157" spans="3:64" s="605" customFormat="1">
      <c r="C157" s="634" t="s">
        <v>583</v>
      </c>
      <c r="E157" s="613"/>
      <c r="F157" s="608"/>
      <c r="U157" s="608"/>
      <c r="AI157" s="608"/>
      <c r="AJ157" s="606"/>
      <c r="AK157" s="237"/>
      <c r="AL157" s="237"/>
      <c r="AM157" s="237"/>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607"/>
    </row>
    <row r="158" spans="3:64" s="605" customFormat="1">
      <c r="C158" s="634" t="s">
        <v>584</v>
      </c>
      <c r="E158" s="613"/>
      <c r="F158" s="608"/>
      <c r="U158" s="608"/>
      <c r="AI158" s="608"/>
      <c r="AJ158" s="606"/>
      <c r="AK158" s="237"/>
      <c r="AL158" s="237"/>
      <c r="AM158" s="237"/>
      <c r="AN158" s="237"/>
      <c r="AO158" s="237"/>
      <c r="AP158" s="237"/>
      <c r="AQ158" s="237"/>
      <c r="AR158" s="237"/>
      <c r="AS158" s="237"/>
      <c r="AT158" s="237"/>
      <c r="AU158" s="237"/>
      <c r="AV158" s="237"/>
      <c r="AW158" s="237"/>
      <c r="AX158" s="237"/>
      <c r="AY158" s="237"/>
      <c r="AZ158" s="237"/>
      <c r="BA158" s="237"/>
      <c r="BB158" s="237"/>
      <c r="BC158" s="237"/>
      <c r="BD158" s="237"/>
      <c r="BE158" s="237"/>
      <c r="BF158" s="237"/>
      <c r="BG158" s="237"/>
      <c r="BH158" s="237"/>
      <c r="BI158" s="237"/>
      <c r="BJ158" s="237"/>
      <c r="BK158" s="237"/>
      <c r="BL158" s="607"/>
    </row>
    <row r="159" spans="3:64" s="605" customFormat="1">
      <c r="C159" s="614"/>
      <c r="E159" s="613"/>
      <c r="F159" s="608"/>
      <c r="U159" s="608"/>
      <c r="AI159" s="608"/>
      <c r="AJ159" s="606"/>
      <c r="AK159" s="237"/>
      <c r="AL159" s="237"/>
      <c r="AM159" s="237"/>
      <c r="AN159" s="237"/>
      <c r="AO159" s="237"/>
      <c r="AP159" s="237"/>
      <c r="AQ159" s="237"/>
      <c r="AR159" s="237"/>
      <c r="AS159" s="237"/>
      <c r="AT159" s="237"/>
      <c r="AU159" s="237"/>
      <c r="AV159" s="237"/>
      <c r="AW159" s="237"/>
      <c r="AX159" s="237"/>
      <c r="AY159" s="237"/>
      <c r="AZ159" s="237"/>
      <c r="BA159" s="237"/>
      <c r="BB159" s="237"/>
      <c r="BC159" s="237"/>
      <c r="BD159" s="237"/>
      <c r="BE159" s="237"/>
      <c r="BF159" s="237"/>
      <c r="BG159" s="237"/>
      <c r="BH159" s="237"/>
      <c r="BI159" s="237"/>
      <c r="BJ159" s="237"/>
      <c r="BK159" s="237"/>
      <c r="BL159" s="607"/>
    </row>
    <row r="160" spans="3:64" s="605" customFormat="1">
      <c r="C160" s="614"/>
      <c r="E160" s="613"/>
      <c r="F160" s="608"/>
      <c r="U160" s="608"/>
      <c r="AI160" s="608"/>
      <c r="AJ160" s="606"/>
      <c r="AK160" s="237"/>
      <c r="AL160" s="237"/>
      <c r="AM160" s="237"/>
      <c r="AN160" s="237"/>
      <c r="AO160" s="237"/>
      <c r="AP160" s="237"/>
      <c r="AQ160" s="237"/>
      <c r="AR160" s="237"/>
      <c r="AS160" s="237"/>
      <c r="AT160" s="237"/>
      <c r="AU160" s="237"/>
      <c r="AV160" s="237"/>
      <c r="AW160" s="237"/>
      <c r="AX160" s="237"/>
      <c r="AY160" s="237"/>
      <c r="AZ160" s="237"/>
      <c r="BA160" s="237"/>
      <c r="BB160" s="237"/>
      <c r="BC160" s="237"/>
      <c r="BD160" s="237"/>
      <c r="BE160" s="237"/>
      <c r="BF160" s="237"/>
      <c r="BG160" s="237"/>
      <c r="BH160" s="237"/>
      <c r="BI160" s="237"/>
      <c r="BJ160" s="237"/>
      <c r="BK160" s="237"/>
      <c r="BL160" s="607"/>
    </row>
    <row r="161" spans="3:64" s="605" customFormat="1">
      <c r="E161" s="613"/>
      <c r="F161" s="608"/>
      <c r="U161" s="608"/>
      <c r="AI161" s="608"/>
      <c r="AJ161" s="606"/>
      <c r="AK161" s="237"/>
      <c r="AL161" s="237"/>
      <c r="AM161" s="237"/>
      <c r="AN161" s="237"/>
      <c r="AO161" s="237"/>
      <c r="AP161" s="237"/>
      <c r="AQ161" s="237"/>
      <c r="AR161" s="237"/>
      <c r="AS161" s="237"/>
      <c r="AT161" s="237"/>
      <c r="AU161" s="237"/>
      <c r="AV161" s="237"/>
      <c r="AW161" s="237"/>
      <c r="AX161" s="237"/>
      <c r="AY161" s="237"/>
      <c r="AZ161" s="237"/>
      <c r="BA161" s="237"/>
      <c r="BB161" s="237"/>
      <c r="BC161" s="237"/>
      <c r="BD161" s="237"/>
      <c r="BE161" s="237"/>
      <c r="BF161" s="237"/>
      <c r="BG161" s="237"/>
      <c r="BH161" s="237"/>
      <c r="BI161" s="237"/>
      <c r="BJ161" s="237"/>
      <c r="BK161" s="237"/>
      <c r="BL161" s="607"/>
    </row>
    <row r="162" spans="3:64" s="605" customFormat="1">
      <c r="C162" s="614"/>
      <c r="E162" s="613"/>
      <c r="F162" s="608"/>
      <c r="U162" s="608"/>
      <c r="AI162" s="608"/>
      <c r="AJ162" s="606"/>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607"/>
    </row>
    <row r="163" spans="3:64" s="605" customFormat="1">
      <c r="C163" s="614"/>
      <c r="E163" s="613"/>
      <c r="F163" s="608"/>
      <c r="U163" s="608"/>
      <c r="AI163" s="608"/>
      <c r="AJ163" s="606"/>
      <c r="AK163" s="237"/>
      <c r="AL163" s="237"/>
      <c r="AM163" s="237"/>
      <c r="AN163" s="237"/>
      <c r="AO163" s="237"/>
      <c r="AP163" s="237"/>
      <c r="AQ163" s="237"/>
      <c r="AR163" s="237"/>
      <c r="AS163" s="237"/>
      <c r="AT163" s="237"/>
      <c r="AU163" s="237"/>
      <c r="AV163" s="237"/>
      <c r="AW163" s="237"/>
      <c r="AX163" s="237"/>
      <c r="AY163" s="237"/>
      <c r="AZ163" s="237"/>
      <c r="BA163" s="237"/>
      <c r="BB163" s="237"/>
      <c r="BC163" s="237"/>
      <c r="BD163" s="237"/>
      <c r="BE163" s="237"/>
      <c r="BF163" s="237"/>
      <c r="BG163" s="237"/>
      <c r="BH163" s="237"/>
      <c r="BI163" s="237"/>
      <c r="BJ163" s="237"/>
      <c r="BK163" s="237"/>
      <c r="BL163" s="607"/>
    </row>
    <row r="164" spans="3:64" s="605" customFormat="1">
      <c r="C164" s="614"/>
      <c r="E164" s="613"/>
      <c r="F164" s="608"/>
      <c r="U164" s="608"/>
      <c r="AI164" s="608"/>
      <c r="AJ164" s="606"/>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607"/>
    </row>
    <row r="165" spans="3:64" s="605" customFormat="1">
      <c r="E165" s="613"/>
      <c r="F165" s="608"/>
      <c r="U165" s="608"/>
      <c r="AI165" s="608"/>
      <c r="AJ165" s="606"/>
      <c r="AK165" s="237"/>
      <c r="AL165" s="237"/>
      <c r="AM165" s="237"/>
      <c r="AN165" s="237"/>
      <c r="AO165" s="237"/>
      <c r="AP165" s="237"/>
      <c r="AQ165" s="237"/>
      <c r="AR165" s="237"/>
      <c r="AS165" s="237"/>
      <c r="AT165" s="237"/>
      <c r="AU165" s="237"/>
      <c r="AV165" s="237"/>
      <c r="AW165" s="237"/>
      <c r="AX165" s="237"/>
      <c r="AY165" s="237"/>
      <c r="AZ165" s="237"/>
      <c r="BA165" s="237"/>
      <c r="BB165" s="237"/>
      <c r="BC165" s="237"/>
      <c r="BD165" s="237"/>
      <c r="BE165" s="237"/>
      <c r="BF165" s="237"/>
      <c r="BG165" s="237"/>
      <c r="BH165" s="237"/>
      <c r="BI165" s="237"/>
      <c r="BJ165" s="237"/>
      <c r="BK165" s="237"/>
      <c r="BL165" s="607"/>
    </row>
    <row r="166" spans="3:64" s="605" customFormat="1">
      <c r="E166" s="613"/>
      <c r="F166" s="608"/>
      <c r="U166" s="608"/>
      <c r="AI166" s="608"/>
      <c r="AJ166" s="606"/>
      <c r="AK166" s="237"/>
      <c r="AL166" s="237"/>
      <c r="AM166" s="237"/>
      <c r="AN166" s="237"/>
      <c r="AO166" s="237"/>
      <c r="AP166" s="237"/>
      <c r="AQ166" s="237"/>
      <c r="AR166" s="237"/>
      <c r="AS166" s="237"/>
      <c r="AT166" s="237"/>
      <c r="AU166" s="237"/>
      <c r="AV166" s="237"/>
      <c r="AW166" s="237"/>
      <c r="AX166" s="237"/>
      <c r="AY166" s="237"/>
      <c r="AZ166" s="237"/>
      <c r="BA166" s="237"/>
      <c r="BB166" s="237"/>
      <c r="BC166" s="237"/>
      <c r="BD166" s="237"/>
      <c r="BE166" s="237"/>
      <c r="BF166" s="237"/>
      <c r="BG166" s="237"/>
      <c r="BH166" s="237"/>
      <c r="BI166" s="237"/>
      <c r="BJ166" s="237"/>
      <c r="BK166" s="237"/>
      <c r="BL166" s="607"/>
    </row>
    <row r="167" spans="3:64" s="605" customFormat="1">
      <c r="E167" s="613"/>
      <c r="F167" s="608"/>
      <c r="U167" s="608"/>
      <c r="AI167" s="608"/>
      <c r="AJ167" s="606"/>
      <c r="AK167" s="237"/>
      <c r="AL167" s="237"/>
      <c r="AM167" s="237"/>
      <c r="AN167" s="237"/>
      <c r="AO167" s="237"/>
      <c r="AP167" s="237"/>
      <c r="AQ167" s="237"/>
      <c r="AR167" s="237"/>
      <c r="AS167" s="237"/>
      <c r="AT167" s="237"/>
      <c r="AU167" s="237"/>
      <c r="AV167" s="237"/>
      <c r="AW167" s="237"/>
      <c r="AX167" s="237"/>
      <c r="AY167" s="237"/>
      <c r="AZ167" s="237"/>
      <c r="BA167" s="237"/>
      <c r="BB167" s="237"/>
      <c r="BC167" s="237"/>
      <c r="BD167" s="237"/>
      <c r="BE167" s="237"/>
      <c r="BF167" s="237"/>
      <c r="BG167" s="237"/>
      <c r="BH167" s="237"/>
      <c r="BI167" s="237"/>
      <c r="BJ167" s="237"/>
      <c r="BK167" s="237"/>
      <c r="BL167" s="607"/>
    </row>
    <row r="168" spans="3:64" s="605" customFormat="1">
      <c r="E168" s="613"/>
      <c r="F168" s="608"/>
      <c r="U168" s="608"/>
      <c r="AI168" s="608"/>
      <c r="AJ168" s="606"/>
      <c r="AK168" s="237"/>
      <c r="AL168" s="237"/>
      <c r="AM168" s="237"/>
      <c r="AN168" s="237"/>
      <c r="AO168" s="237"/>
      <c r="AP168" s="237"/>
      <c r="AQ168" s="237"/>
      <c r="AR168" s="237"/>
      <c r="AS168" s="237"/>
      <c r="AT168" s="237"/>
      <c r="AU168" s="237"/>
      <c r="AV168" s="237"/>
      <c r="AW168" s="237"/>
      <c r="AX168" s="237"/>
      <c r="AY168" s="237"/>
      <c r="AZ168" s="237"/>
      <c r="BA168" s="237"/>
      <c r="BB168" s="237"/>
      <c r="BC168" s="237"/>
      <c r="BD168" s="237"/>
      <c r="BE168" s="237"/>
      <c r="BF168" s="237"/>
      <c r="BG168" s="237"/>
      <c r="BH168" s="237"/>
      <c r="BI168" s="237"/>
      <c r="BJ168" s="237"/>
      <c r="BK168" s="237"/>
      <c r="BL168" s="607"/>
    </row>
    <row r="169" spans="3:64" s="605" customFormat="1">
      <c r="E169" s="613"/>
      <c r="F169" s="608"/>
      <c r="U169" s="608"/>
      <c r="AI169" s="608"/>
      <c r="AJ169" s="606"/>
      <c r="AK169" s="237"/>
      <c r="AL169" s="237"/>
      <c r="AM169" s="237"/>
      <c r="AN169" s="237"/>
      <c r="AO169" s="237"/>
      <c r="AP169" s="237"/>
      <c r="AQ169" s="237"/>
      <c r="AR169" s="237"/>
      <c r="AS169" s="237"/>
      <c r="AT169" s="237"/>
      <c r="AU169" s="237"/>
      <c r="AV169" s="237"/>
      <c r="AW169" s="237"/>
      <c r="AX169" s="237"/>
      <c r="AY169" s="237"/>
      <c r="AZ169" s="237"/>
      <c r="BA169" s="237"/>
      <c r="BB169" s="237"/>
      <c r="BC169" s="237"/>
      <c r="BD169" s="237"/>
      <c r="BE169" s="237"/>
      <c r="BF169" s="237"/>
      <c r="BG169" s="237"/>
      <c r="BH169" s="237"/>
      <c r="BI169" s="237"/>
      <c r="BJ169" s="237"/>
      <c r="BK169" s="237"/>
      <c r="BL169" s="607"/>
    </row>
    <row r="170" spans="3:64" s="605" customFormat="1">
      <c r="E170" s="613"/>
      <c r="F170" s="608"/>
      <c r="U170" s="608"/>
      <c r="AI170" s="608"/>
      <c r="AJ170" s="606"/>
      <c r="AK170" s="237"/>
      <c r="AL170" s="237"/>
      <c r="AM170" s="237"/>
      <c r="AN170" s="237"/>
      <c r="AO170" s="237"/>
      <c r="AP170" s="237"/>
      <c r="AQ170" s="237"/>
      <c r="AR170" s="237"/>
      <c r="AS170" s="237"/>
      <c r="AT170" s="237"/>
      <c r="AU170" s="237"/>
      <c r="AV170" s="237"/>
      <c r="AW170" s="237"/>
      <c r="AX170" s="237"/>
      <c r="AY170" s="237"/>
      <c r="AZ170" s="237"/>
      <c r="BA170" s="237"/>
      <c r="BB170" s="237"/>
      <c r="BC170" s="237"/>
      <c r="BD170" s="237"/>
      <c r="BE170" s="237"/>
      <c r="BF170" s="237"/>
      <c r="BG170" s="237"/>
      <c r="BH170" s="237"/>
      <c r="BI170" s="237"/>
      <c r="BJ170" s="237"/>
      <c r="BK170" s="237"/>
      <c r="BL170" s="607"/>
    </row>
    <row r="171" spans="3:64" s="605" customFormat="1">
      <c r="E171" s="613"/>
      <c r="F171" s="608"/>
      <c r="U171" s="608"/>
      <c r="AI171" s="608"/>
      <c r="AJ171" s="606"/>
      <c r="AK171" s="237"/>
      <c r="AL171" s="237"/>
      <c r="AM171" s="237"/>
      <c r="AN171" s="237"/>
      <c r="AO171" s="237"/>
      <c r="AP171" s="237"/>
      <c r="AQ171" s="237"/>
      <c r="AR171" s="237"/>
      <c r="AS171" s="237"/>
      <c r="AT171" s="237"/>
      <c r="AU171" s="237"/>
      <c r="AV171" s="237"/>
      <c r="AW171" s="237"/>
      <c r="AX171" s="237"/>
      <c r="AY171" s="237"/>
      <c r="AZ171" s="237"/>
      <c r="BA171" s="237"/>
      <c r="BB171" s="237"/>
      <c r="BC171" s="237"/>
      <c r="BD171" s="237"/>
      <c r="BE171" s="237"/>
      <c r="BF171" s="237"/>
      <c r="BG171" s="237"/>
      <c r="BH171" s="237"/>
      <c r="BI171" s="237"/>
      <c r="BJ171" s="237"/>
      <c r="BK171" s="237"/>
      <c r="BL171" s="607"/>
    </row>
    <row r="172" spans="3:64" s="605" customFormat="1">
      <c r="E172" s="613"/>
      <c r="F172" s="608"/>
      <c r="U172" s="608"/>
      <c r="AI172" s="608"/>
      <c r="AJ172" s="606"/>
      <c r="AK172" s="237"/>
      <c r="AL172" s="237"/>
      <c r="AM172" s="237"/>
      <c r="AN172" s="237"/>
      <c r="AO172" s="237"/>
      <c r="AP172" s="237"/>
      <c r="AQ172" s="237"/>
      <c r="AR172" s="237"/>
      <c r="AS172" s="237"/>
      <c r="AT172" s="237"/>
      <c r="AU172" s="237"/>
      <c r="AV172" s="237"/>
      <c r="AW172" s="237"/>
      <c r="AX172" s="237"/>
      <c r="AY172" s="237"/>
      <c r="AZ172" s="237"/>
      <c r="BA172" s="237"/>
      <c r="BB172" s="237"/>
      <c r="BC172" s="237"/>
      <c r="BD172" s="237"/>
      <c r="BE172" s="237"/>
      <c r="BF172" s="237"/>
      <c r="BG172" s="237"/>
      <c r="BH172" s="237"/>
      <c r="BI172" s="237"/>
      <c r="BJ172" s="237"/>
      <c r="BK172" s="237"/>
      <c r="BL172" s="607"/>
    </row>
    <row r="173" spans="3:64" s="605" customFormat="1">
      <c r="E173" s="613"/>
      <c r="F173" s="608"/>
      <c r="U173" s="608"/>
      <c r="AI173" s="608"/>
      <c r="AJ173" s="606"/>
      <c r="AK173" s="237"/>
      <c r="AL173" s="237"/>
      <c r="AM173" s="237"/>
      <c r="AN173" s="237"/>
      <c r="AO173" s="237"/>
      <c r="AP173" s="237"/>
      <c r="AQ173" s="237"/>
      <c r="AR173" s="237"/>
      <c r="AS173" s="237"/>
      <c r="AT173" s="237"/>
      <c r="AU173" s="237"/>
      <c r="AV173" s="237"/>
      <c r="AW173" s="237"/>
      <c r="AX173" s="237"/>
      <c r="AY173" s="237"/>
      <c r="AZ173" s="237"/>
      <c r="BA173" s="237"/>
      <c r="BB173" s="237"/>
      <c r="BC173" s="237"/>
      <c r="BD173" s="237"/>
      <c r="BE173" s="237"/>
      <c r="BF173" s="237"/>
      <c r="BG173" s="237"/>
      <c r="BH173" s="237"/>
      <c r="BI173" s="237"/>
      <c r="BJ173" s="237"/>
      <c r="BK173" s="237"/>
      <c r="BL173" s="607"/>
    </row>
    <row r="174" spans="3:64" s="605" customFormat="1">
      <c r="E174" s="613"/>
      <c r="F174" s="608"/>
      <c r="U174" s="608"/>
      <c r="AI174" s="608"/>
      <c r="AJ174" s="606"/>
      <c r="AK174" s="237"/>
      <c r="AL174" s="237"/>
      <c r="AM174" s="237"/>
      <c r="AN174" s="237"/>
      <c r="AO174" s="237"/>
      <c r="AP174" s="237"/>
      <c r="AQ174" s="237"/>
      <c r="AR174" s="237"/>
      <c r="AS174" s="237"/>
      <c r="AT174" s="237"/>
      <c r="AU174" s="237"/>
      <c r="AV174" s="237"/>
      <c r="AW174" s="237"/>
      <c r="AX174" s="237"/>
      <c r="AY174" s="237"/>
      <c r="AZ174" s="237"/>
      <c r="BA174" s="237"/>
      <c r="BB174" s="237"/>
      <c r="BC174" s="237"/>
      <c r="BD174" s="237"/>
      <c r="BE174" s="237"/>
      <c r="BF174" s="237"/>
      <c r="BG174" s="237"/>
      <c r="BH174" s="237"/>
      <c r="BI174" s="237"/>
      <c r="BJ174" s="237"/>
      <c r="BK174" s="237"/>
      <c r="BL174" s="607"/>
    </row>
    <row r="175" spans="3:64" s="605" customFormat="1">
      <c r="E175" s="613"/>
      <c r="F175" s="608"/>
      <c r="U175" s="608"/>
      <c r="AI175" s="608"/>
      <c r="AJ175" s="606"/>
      <c r="AK175" s="237"/>
      <c r="AL175" s="237"/>
      <c r="AM175" s="237"/>
      <c r="AN175" s="237"/>
      <c r="AO175" s="237"/>
      <c r="AP175" s="237"/>
      <c r="AQ175" s="237"/>
      <c r="AR175" s="237"/>
      <c r="AS175" s="237"/>
      <c r="AT175" s="237"/>
      <c r="AU175" s="237"/>
      <c r="AV175" s="237"/>
      <c r="AW175" s="237"/>
      <c r="AX175" s="237"/>
      <c r="AY175" s="237"/>
      <c r="AZ175" s="237"/>
      <c r="BA175" s="237"/>
      <c r="BB175" s="237"/>
      <c r="BC175" s="237"/>
      <c r="BD175" s="237"/>
      <c r="BE175" s="237"/>
      <c r="BF175" s="237"/>
      <c r="BG175" s="237"/>
      <c r="BH175" s="237"/>
      <c r="BI175" s="237"/>
      <c r="BJ175" s="237"/>
      <c r="BK175" s="237"/>
      <c r="BL175" s="607"/>
    </row>
    <row r="176" spans="3:64" s="605" customFormat="1">
      <c r="E176" s="613"/>
      <c r="F176" s="608"/>
      <c r="U176" s="608"/>
      <c r="AI176" s="608"/>
      <c r="AJ176" s="606"/>
      <c r="AK176" s="237"/>
      <c r="AL176" s="237"/>
      <c r="AM176" s="237"/>
      <c r="AN176" s="237"/>
      <c r="AO176" s="237"/>
      <c r="AP176" s="237"/>
      <c r="AQ176" s="237"/>
      <c r="AR176" s="237"/>
      <c r="AS176" s="237"/>
      <c r="AT176" s="237"/>
      <c r="AU176" s="237"/>
      <c r="AV176" s="237"/>
      <c r="AW176" s="237"/>
      <c r="AX176" s="237"/>
      <c r="AY176" s="237"/>
      <c r="AZ176" s="237"/>
      <c r="BA176" s="237"/>
      <c r="BB176" s="237"/>
      <c r="BC176" s="237"/>
      <c r="BD176" s="237"/>
      <c r="BE176" s="237"/>
      <c r="BF176" s="237"/>
      <c r="BG176" s="237"/>
      <c r="BH176" s="237"/>
      <c r="BI176" s="237"/>
      <c r="BJ176" s="237"/>
      <c r="BK176" s="237"/>
      <c r="BL176" s="607"/>
    </row>
    <row r="177" spans="5:64" s="605" customFormat="1">
      <c r="E177" s="613"/>
      <c r="F177" s="608"/>
      <c r="U177" s="608"/>
      <c r="AI177" s="608"/>
      <c r="AJ177" s="606"/>
      <c r="AK177" s="237"/>
      <c r="AL177" s="237"/>
      <c r="AM177" s="237"/>
      <c r="AN177" s="237"/>
      <c r="AO177" s="237"/>
      <c r="AP177" s="237"/>
      <c r="AQ177" s="237"/>
      <c r="AR177" s="237"/>
      <c r="AS177" s="237"/>
      <c r="AT177" s="237"/>
      <c r="AU177" s="237"/>
      <c r="AV177" s="237"/>
      <c r="AW177" s="237"/>
      <c r="AX177" s="237"/>
      <c r="AY177" s="237"/>
      <c r="AZ177" s="237"/>
      <c r="BA177" s="237"/>
      <c r="BB177" s="237"/>
      <c r="BC177" s="237"/>
      <c r="BD177" s="237"/>
      <c r="BE177" s="237"/>
      <c r="BF177" s="237"/>
      <c r="BG177" s="237"/>
      <c r="BH177" s="237"/>
      <c r="BI177" s="237"/>
      <c r="BJ177" s="237"/>
      <c r="BK177" s="237"/>
      <c r="BL177" s="607"/>
    </row>
    <row r="178" spans="5:64" s="605" customFormat="1">
      <c r="E178" s="613"/>
      <c r="F178" s="608"/>
      <c r="U178" s="608"/>
      <c r="AI178" s="608"/>
      <c r="AJ178" s="606"/>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607"/>
    </row>
    <row r="179" spans="5:64" s="605" customFormat="1">
      <c r="E179" s="613"/>
      <c r="F179" s="608"/>
      <c r="U179" s="608"/>
      <c r="AI179" s="608"/>
      <c r="AJ179" s="606"/>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607"/>
    </row>
    <row r="180" spans="5:64" s="605" customFormat="1">
      <c r="E180" s="613"/>
      <c r="F180" s="608"/>
      <c r="U180" s="608"/>
      <c r="AI180" s="608"/>
      <c r="AJ180" s="606"/>
      <c r="AK180" s="237"/>
      <c r="AL180" s="237"/>
      <c r="AM180" s="237"/>
      <c r="AN180" s="237"/>
      <c r="AO180" s="237"/>
      <c r="AP180" s="237"/>
      <c r="AQ180" s="237"/>
      <c r="AR180" s="237"/>
      <c r="AS180" s="237"/>
      <c r="AT180" s="237"/>
      <c r="AU180" s="237"/>
      <c r="AV180" s="237"/>
      <c r="AW180" s="237"/>
      <c r="AX180" s="237"/>
      <c r="AY180" s="237"/>
      <c r="AZ180" s="237"/>
      <c r="BA180" s="237"/>
      <c r="BB180" s="237"/>
      <c r="BC180" s="237"/>
      <c r="BD180" s="237"/>
      <c r="BE180" s="237"/>
      <c r="BF180" s="237"/>
      <c r="BG180" s="237"/>
      <c r="BH180" s="237"/>
      <c r="BI180" s="237"/>
      <c r="BJ180" s="237"/>
      <c r="BK180" s="237"/>
      <c r="BL180" s="607"/>
    </row>
    <row r="181" spans="5:64" s="605" customFormat="1">
      <c r="E181" s="613"/>
      <c r="F181" s="608"/>
      <c r="U181" s="608"/>
      <c r="AI181" s="608"/>
      <c r="AJ181" s="606"/>
      <c r="AK181" s="237"/>
      <c r="AL181" s="237"/>
      <c r="AM181" s="237"/>
      <c r="AN181" s="237"/>
      <c r="AO181" s="237"/>
      <c r="AP181" s="237"/>
      <c r="AQ181" s="237"/>
      <c r="AR181" s="237"/>
      <c r="AS181" s="237"/>
      <c r="AT181" s="237"/>
      <c r="AU181" s="237"/>
      <c r="AV181" s="237"/>
      <c r="AW181" s="237"/>
      <c r="AX181" s="237"/>
      <c r="AY181" s="237"/>
      <c r="AZ181" s="237"/>
      <c r="BA181" s="237"/>
      <c r="BB181" s="237"/>
      <c r="BC181" s="237"/>
      <c r="BD181" s="237"/>
      <c r="BE181" s="237"/>
      <c r="BF181" s="237"/>
      <c r="BG181" s="237"/>
      <c r="BH181" s="237"/>
      <c r="BI181" s="237"/>
      <c r="BJ181" s="237"/>
      <c r="BK181" s="237"/>
      <c r="BL181" s="607"/>
    </row>
    <row r="182" spans="5:64" s="605" customFormat="1">
      <c r="E182" s="613"/>
      <c r="F182" s="608"/>
      <c r="U182" s="608"/>
      <c r="AI182" s="608"/>
      <c r="AJ182" s="606"/>
      <c r="AK182" s="237"/>
      <c r="AL182" s="237"/>
      <c r="AM182" s="237"/>
      <c r="AN182" s="237"/>
      <c r="AO182" s="237"/>
      <c r="AP182" s="237"/>
      <c r="AQ182" s="237"/>
      <c r="AR182" s="237"/>
      <c r="AS182" s="237"/>
      <c r="AT182" s="237"/>
      <c r="AU182" s="237"/>
      <c r="AV182" s="237"/>
      <c r="AW182" s="237"/>
      <c r="AX182" s="237"/>
      <c r="AY182" s="237"/>
      <c r="AZ182" s="237"/>
      <c r="BA182" s="237"/>
      <c r="BB182" s="237"/>
      <c r="BC182" s="237"/>
      <c r="BD182" s="237"/>
      <c r="BE182" s="237"/>
      <c r="BF182" s="237"/>
      <c r="BG182" s="237"/>
      <c r="BH182" s="237"/>
      <c r="BI182" s="237"/>
      <c r="BJ182" s="237"/>
      <c r="BK182" s="237"/>
      <c r="BL182" s="607"/>
    </row>
    <row r="183" spans="5:64" s="605" customFormat="1">
      <c r="E183" s="613"/>
      <c r="F183" s="608"/>
      <c r="U183" s="608"/>
      <c r="AI183" s="608"/>
      <c r="AJ183" s="606"/>
      <c r="AK183" s="237"/>
      <c r="AL183" s="237"/>
      <c r="AM183" s="237"/>
      <c r="AN183" s="237"/>
      <c r="AO183" s="237"/>
      <c r="AP183" s="237"/>
      <c r="AQ183" s="237"/>
      <c r="AR183" s="237"/>
      <c r="AS183" s="237"/>
      <c r="AT183" s="237"/>
      <c r="AU183" s="237"/>
      <c r="AV183" s="237"/>
      <c r="AW183" s="237"/>
      <c r="AX183" s="237"/>
      <c r="AY183" s="237"/>
      <c r="AZ183" s="237"/>
      <c r="BA183" s="237"/>
      <c r="BB183" s="237"/>
      <c r="BC183" s="237"/>
      <c r="BD183" s="237"/>
      <c r="BE183" s="237"/>
      <c r="BF183" s="237"/>
      <c r="BG183" s="237"/>
      <c r="BH183" s="237"/>
      <c r="BI183" s="237"/>
      <c r="BJ183" s="237"/>
      <c r="BK183" s="237"/>
      <c r="BL183" s="607"/>
    </row>
    <row r="184" spans="5:64" s="605" customFormat="1">
      <c r="E184" s="613"/>
      <c r="F184" s="608"/>
      <c r="U184" s="608"/>
      <c r="AI184" s="608"/>
      <c r="AJ184" s="606"/>
      <c r="AK184" s="237"/>
      <c r="AL184" s="237"/>
      <c r="AM184" s="237"/>
      <c r="AN184" s="237"/>
      <c r="AO184" s="237"/>
      <c r="AP184" s="237"/>
      <c r="AQ184" s="237"/>
      <c r="AR184" s="237"/>
      <c r="AS184" s="237"/>
      <c r="AT184" s="237"/>
      <c r="AU184" s="237"/>
      <c r="AV184" s="237"/>
      <c r="AW184" s="237"/>
      <c r="AX184" s="237"/>
      <c r="AY184" s="237"/>
      <c r="AZ184" s="237"/>
      <c r="BA184" s="237"/>
      <c r="BB184" s="237"/>
      <c r="BC184" s="237"/>
      <c r="BD184" s="237"/>
      <c r="BE184" s="237"/>
      <c r="BF184" s="237"/>
      <c r="BG184" s="237"/>
      <c r="BH184" s="237"/>
      <c r="BI184" s="237"/>
      <c r="BJ184" s="237"/>
      <c r="BK184" s="237"/>
      <c r="BL184" s="607"/>
    </row>
    <row r="185" spans="5:64" s="605" customFormat="1">
      <c r="E185" s="613"/>
      <c r="F185" s="608"/>
      <c r="U185" s="608"/>
      <c r="AI185" s="608"/>
      <c r="AJ185" s="606"/>
      <c r="AK185" s="237"/>
      <c r="AL185" s="237"/>
      <c r="AM185" s="237"/>
      <c r="AN185" s="237"/>
      <c r="AO185" s="237"/>
      <c r="AP185" s="237"/>
      <c r="AQ185" s="237"/>
      <c r="AR185" s="237"/>
      <c r="AS185" s="237"/>
      <c r="AT185" s="237"/>
      <c r="AU185" s="237"/>
      <c r="AV185" s="237"/>
      <c r="AW185" s="237"/>
      <c r="AX185" s="237"/>
      <c r="AY185" s="237"/>
      <c r="AZ185" s="237"/>
      <c r="BA185" s="237"/>
      <c r="BB185" s="237"/>
      <c r="BC185" s="237"/>
      <c r="BD185" s="237"/>
      <c r="BE185" s="237"/>
      <c r="BF185" s="237"/>
      <c r="BG185" s="237"/>
      <c r="BH185" s="237"/>
      <c r="BI185" s="237"/>
      <c r="BJ185" s="237"/>
      <c r="BK185" s="237"/>
      <c r="BL185" s="607"/>
    </row>
    <row r="186" spans="5:64" s="605" customFormat="1">
      <c r="E186" s="613"/>
      <c r="F186" s="608"/>
      <c r="U186" s="608"/>
      <c r="AI186" s="608"/>
      <c r="AJ186" s="606"/>
      <c r="AK186" s="237"/>
      <c r="AL186" s="237"/>
      <c r="AM186" s="237"/>
      <c r="AN186" s="237"/>
      <c r="AO186" s="237"/>
      <c r="AP186" s="237"/>
      <c r="AQ186" s="237"/>
      <c r="AR186" s="237"/>
      <c r="AS186" s="237"/>
      <c r="AT186" s="237"/>
      <c r="AU186" s="237"/>
      <c r="AV186" s="237"/>
      <c r="AW186" s="237"/>
      <c r="AX186" s="237"/>
      <c r="AY186" s="237"/>
      <c r="AZ186" s="237"/>
      <c r="BA186" s="237"/>
      <c r="BB186" s="237"/>
      <c r="BC186" s="237"/>
      <c r="BD186" s="237"/>
      <c r="BE186" s="237"/>
      <c r="BF186" s="237"/>
      <c r="BG186" s="237"/>
      <c r="BH186" s="237"/>
      <c r="BI186" s="237"/>
      <c r="BJ186" s="237"/>
      <c r="BK186" s="237"/>
      <c r="BL186" s="607"/>
    </row>
    <row r="187" spans="5:64" s="605" customFormat="1">
      <c r="E187" s="613"/>
      <c r="F187" s="608"/>
      <c r="U187" s="608"/>
      <c r="AI187" s="608"/>
      <c r="AJ187" s="606"/>
      <c r="AK187" s="237"/>
      <c r="AL187" s="237"/>
      <c r="AM187" s="237"/>
      <c r="AN187" s="237"/>
      <c r="AO187" s="237"/>
      <c r="AP187" s="237"/>
      <c r="AQ187" s="237"/>
      <c r="AR187" s="237"/>
      <c r="AS187" s="237"/>
      <c r="AT187" s="237"/>
      <c r="AU187" s="237"/>
      <c r="AV187" s="237"/>
      <c r="AW187" s="237"/>
      <c r="AX187" s="237"/>
      <c r="AY187" s="237"/>
      <c r="AZ187" s="237"/>
      <c r="BA187" s="237"/>
      <c r="BB187" s="237"/>
      <c r="BC187" s="237"/>
      <c r="BD187" s="237"/>
      <c r="BE187" s="237"/>
      <c r="BF187" s="237"/>
      <c r="BG187" s="237"/>
      <c r="BH187" s="237"/>
      <c r="BI187" s="237"/>
      <c r="BJ187" s="237"/>
      <c r="BK187" s="237"/>
      <c r="BL187" s="607"/>
    </row>
    <row r="188" spans="5:64" s="605" customFormat="1">
      <c r="E188" s="613"/>
      <c r="F188" s="608"/>
      <c r="U188" s="608"/>
      <c r="AI188" s="608"/>
      <c r="AJ188" s="606"/>
      <c r="AK188" s="237"/>
      <c r="AL188" s="237"/>
      <c r="AM188" s="237"/>
      <c r="AN188" s="237"/>
      <c r="AO188" s="237"/>
      <c r="AP188" s="237"/>
      <c r="AQ188" s="237"/>
      <c r="AR188" s="237"/>
      <c r="AS188" s="237"/>
      <c r="AT188" s="237"/>
      <c r="AU188" s="237"/>
      <c r="AV188" s="237"/>
      <c r="AW188" s="237"/>
      <c r="AX188" s="237"/>
      <c r="AY188" s="237"/>
      <c r="AZ188" s="237"/>
      <c r="BA188" s="237"/>
      <c r="BB188" s="237"/>
      <c r="BC188" s="237"/>
      <c r="BD188" s="237"/>
      <c r="BE188" s="237"/>
      <c r="BF188" s="237"/>
      <c r="BG188" s="237"/>
      <c r="BH188" s="237"/>
      <c r="BI188" s="237"/>
      <c r="BJ188" s="237"/>
      <c r="BK188" s="237"/>
      <c r="BL188" s="607"/>
    </row>
    <row r="189" spans="5:64" s="605" customFormat="1">
      <c r="E189" s="613"/>
      <c r="F189" s="608"/>
      <c r="U189" s="608"/>
      <c r="AI189" s="608"/>
      <c r="AJ189" s="606"/>
      <c r="AK189" s="237"/>
      <c r="AL189" s="237"/>
      <c r="AM189" s="237"/>
      <c r="AN189" s="237"/>
      <c r="AO189" s="237"/>
      <c r="AP189" s="237"/>
      <c r="AQ189" s="237"/>
      <c r="AR189" s="237"/>
      <c r="AS189" s="237"/>
      <c r="AT189" s="237"/>
      <c r="AU189" s="237"/>
      <c r="AV189" s="237"/>
      <c r="AW189" s="237"/>
      <c r="AX189" s="237"/>
      <c r="AY189" s="237"/>
      <c r="AZ189" s="237"/>
      <c r="BA189" s="237"/>
      <c r="BB189" s="237"/>
      <c r="BC189" s="237"/>
      <c r="BD189" s="237"/>
      <c r="BE189" s="237"/>
      <c r="BF189" s="237"/>
      <c r="BG189" s="237"/>
      <c r="BH189" s="237"/>
      <c r="BI189" s="237"/>
      <c r="BJ189" s="237"/>
      <c r="BK189" s="237"/>
      <c r="BL189" s="607"/>
    </row>
    <row r="190" spans="5:64" s="605" customFormat="1">
      <c r="E190" s="613"/>
      <c r="F190" s="608"/>
      <c r="U190" s="608"/>
      <c r="AI190" s="608"/>
      <c r="AJ190" s="606"/>
      <c r="AK190" s="237"/>
      <c r="AL190" s="237"/>
      <c r="AM190" s="237"/>
      <c r="AN190" s="237"/>
      <c r="AO190" s="237"/>
      <c r="AP190" s="237"/>
      <c r="AQ190" s="237"/>
      <c r="AR190" s="237"/>
      <c r="AS190" s="237"/>
      <c r="AT190" s="237"/>
      <c r="AU190" s="237"/>
      <c r="AV190" s="237"/>
      <c r="AW190" s="237"/>
      <c r="AX190" s="237"/>
      <c r="AY190" s="237"/>
      <c r="AZ190" s="237"/>
      <c r="BA190" s="237"/>
      <c r="BB190" s="237"/>
      <c r="BC190" s="237"/>
      <c r="BD190" s="237"/>
      <c r="BE190" s="237"/>
      <c r="BF190" s="237"/>
      <c r="BG190" s="237"/>
      <c r="BH190" s="237"/>
      <c r="BI190" s="237"/>
      <c r="BJ190" s="237"/>
      <c r="BK190" s="237"/>
      <c r="BL190" s="607"/>
    </row>
    <row r="191" spans="5:64" s="605" customFormat="1">
      <c r="E191" s="613"/>
      <c r="F191" s="608"/>
      <c r="U191" s="608"/>
      <c r="AI191" s="608"/>
      <c r="AJ191" s="606"/>
      <c r="AK191" s="237"/>
      <c r="AL191" s="237"/>
      <c r="AM191" s="237"/>
      <c r="AN191" s="237"/>
      <c r="AO191" s="237"/>
      <c r="AP191" s="237"/>
      <c r="AQ191" s="237"/>
      <c r="AR191" s="237"/>
      <c r="AS191" s="237"/>
      <c r="AT191" s="237"/>
      <c r="AU191" s="237"/>
      <c r="AV191" s="237"/>
      <c r="AW191" s="237"/>
      <c r="AX191" s="237"/>
      <c r="AY191" s="237"/>
      <c r="AZ191" s="237"/>
      <c r="BA191" s="237"/>
      <c r="BB191" s="237"/>
      <c r="BC191" s="237"/>
      <c r="BD191" s="237"/>
      <c r="BE191" s="237"/>
      <c r="BF191" s="237"/>
      <c r="BG191" s="237"/>
      <c r="BH191" s="237"/>
      <c r="BI191" s="237"/>
      <c r="BJ191" s="237"/>
      <c r="BK191" s="237"/>
      <c r="BL191" s="607"/>
    </row>
    <row r="192" spans="5:64" s="605" customFormat="1">
      <c r="E192" s="613"/>
      <c r="F192" s="608"/>
      <c r="U192" s="608"/>
      <c r="AI192" s="608"/>
      <c r="AJ192" s="606"/>
      <c r="AK192" s="237"/>
      <c r="AL192" s="237"/>
      <c r="AM192" s="237"/>
      <c r="AN192" s="237"/>
      <c r="AO192" s="237"/>
      <c r="AP192" s="237"/>
      <c r="AQ192" s="237"/>
      <c r="AR192" s="237"/>
      <c r="AS192" s="237"/>
      <c r="AT192" s="237"/>
      <c r="AU192" s="237"/>
      <c r="AV192" s="237"/>
      <c r="AW192" s="237"/>
      <c r="AX192" s="237"/>
      <c r="AY192" s="237"/>
      <c r="AZ192" s="237"/>
      <c r="BA192" s="237"/>
      <c r="BB192" s="237"/>
      <c r="BC192" s="237"/>
      <c r="BD192" s="237"/>
      <c r="BE192" s="237"/>
      <c r="BF192" s="237"/>
      <c r="BG192" s="237"/>
      <c r="BH192" s="237"/>
      <c r="BI192" s="237"/>
      <c r="BJ192" s="237"/>
      <c r="BK192" s="237"/>
      <c r="BL192" s="607"/>
    </row>
    <row r="193" spans="5:64" s="605" customFormat="1">
      <c r="E193" s="613"/>
      <c r="F193" s="608"/>
      <c r="U193" s="608"/>
      <c r="AI193" s="608"/>
      <c r="AJ193" s="606"/>
      <c r="AK193" s="237"/>
      <c r="AL193" s="237"/>
      <c r="AM193" s="237"/>
      <c r="AN193" s="237"/>
      <c r="AO193" s="237"/>
      <c r="AP193" s="237"/>
      <c r="AQ193" s="237"/>
      <c r="AR193" s="237"/>
      <c r="AS193" s="237"/>
      <c r="AT193" s="237"/>
      <c r="AU193" s="237"/>
      <c r="AV193" s="237"/>
      <c r="AW193" s="237"/>
      <c r="AX193" s="237"/>
      <c r="AY193" s="237"/>
      <c r="AZ193" s="237"/>
      <c r="BA193" s="237"/>
      <c r="BB193" s="237"/>
      <c r="BC193" s="237"/>
      <c r="BD193" s="237"/>
      <c r="BE193" s="237"/>
      <c r="BF193" s="237"/>
      <c r="BG193" s="237"/>
      <c r="BH193" s="237"/>
      <c r="BI193" s="237"/>
      <c r="BJ193" s="237"/>
      <c r="BK193" s="237"/>
      <c r="BL193" s="607"/>
    </row>
    <row r="194" spans="5:64" s="605" customFormat="1">
      <c r="E194" s="613"/>
      <c r="F194" s="608"/>
      <c r="U194" s="608"/>
      <c r="AI194" s="608"/>
      <c r="AJ194" s="606"/>
      <c r="AK194" s="237"/>
      <c r="AL194" s="237"/>
      <c r="AM194" s="237"/>
      <c r="AN194" s="237"/>
      <c r="AO194" s="237"/>
      <c r="AP194" s="237"/>
      <c r="AQ194" s="237"/>
      <c r="AR194" s="237"/>
      <c r="AS194" s="237"/>
      <c r="AT194" s="237"/>
      <c r="AU194" s="237"/>
      <c r="AV194" s="237"/>
      <c r="AW194" s="237"/>
      <c r="AX194" s="237"/>
      <c r="AY194" s="237"/>
      <c r="AZ194" s="237"/>
      <c r="BA194" s="237"/>
      <c r="BB194" s="237"/>
      <c r="BC194" s="237"/>
      <c r="BD194" s="237"/>
      <c r="BE194" s="237"/>
      <c r="BF194" s="237"/>
      <c r="BG194" s="237"/>
      <c r="BH194" s="237"/>
      <c r="BI194" s="237"/>
      <c r="BJ194" s="237"/>
      <c r="BK194" s="237"/>
      <c r="BL194" s="607"/>
    </row>
    <row r="195" spans="5:64" s="605" customFormat="1">
      <c r="E195" s="613"/>
      <c r="F195" s="608"/>
      <c r="U195" s="608"/>
      <c r="AI195" s="608"/>
      <c r="AJ195" s="606"/>
      <c r="AK195" s="237"/>
      <c r="AL195" s="237"/>
      <c r="AM195" s="237"/>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607"/>
    </row>
    <row r="196" spans="5:64" s="605" customFormat="1">
      <c r="E196" s="613"/>
      <c r="F196" s="608"/>
      <c r="U196" s="608"/>
      <c r="AI196" s="608"/>
      <c r="AJ196" s="606"/>
      <c r="AK196" s="237"/>
      <c r="AL196" s="237"/>
      <c r="AM196" s="237"/>
      <c r="AN196" s="237"/>
      <c r="AO196" s="237"/>
      <c r="AP196" s="237"/>
      <c r="AQ196" s="237"/>
      <c r="AR196" s="237"/>
      <c r="AS196" s="237"/>
      <c r="AT196" s="237"/>
      <c r="AU196" s="237"/>
      <c r="AV196" s="237"/>
      <c r="AW196" s="237"/>
      <c r="AX196" s="237"/>
      <c r="AY196" s="237"/>
      <c r="AZ196" s="237"/>
      <c r="BA196" s="237"/>
      <c r="BB196" s="237"/>
      <c r="BC196" s="237"/>
      <c r="BD196" s="237"/>
      <c r="BE196" s="237"/>
      <c r="BF196" s="237"/>
      <c r="BG196" s="237"/>
      <c r="BH196" s="237"/>
      <c r="BI196" s="237"/>
      <c r="BJ196" s="237"/>
      <c r="BK196" s="237"/>
      <c r="BL196" s="607"/>
    </row>
    <row r="197" spans="5:64" s="605" customFormat="1">
      <c r="E197" s="613"/>
      <c r="F197" s="608"/>
      <c r="U197" s="608"/>
      <c r="AI197" s="608"/>
      <c r="AJ197" s="606"/>
      <c r="AK197" s="237"/>
      <c r="AL197" s="237"/>
      <c r="AM197" s="237"/>
      <c r="AN197" s="237"/>
      <c r="AO197" s="237"/>
      <c r="AP197" s="237"/>
      <c r="AQ197" s="237"/>
      <c r="AR197" s="237"/>
      <c r="AS197" s="237"/>
      <c r="AT197" s="237"/>
      <c r="AU197" s="237"/>
      <c r="AV197" s="237"/>
      <c r="AW197" s="237"/>
      <c r="AX197" s="237"/>
      <c r="AY197" s="237"/>
      <c r="AZ197" s="237"/>
      <c r="BA197" s="237"/>
      <c r="BB197" s="237"/>
      <c r="BC197" s="237"/>
      <c r="BD197" s="237"/>
      <c r="BE197" s="237"/>
      <c r="BF197" s="237"/>
      <c r="BG197" s="237"/>
      <c r="BH197" s="237"/>
      <c r="BI197" s="237"/>
      <c r="BJ197" s="237"/>
      <c r="BK197" s="237"/>
      <c r="BL197" s="607"/>
    </row>
    <row r="198" spans="5:64" s="605" customFormat="1">
      <c r="E198" s="613"/>
      <c r="F198" s="608"/>
      <c r="U198" s="608"/>
      <c r="AI198" s="608"/>
      <c r="AJ198" s="606"/>
      <c r="AK198" s="237"/>
      <c r="AL198" s="237"/>
      <c r="AM198" s="237"/>
      <c r="AN198" s="237"/>
      <c r="AO198" s="237"/>
      <c r="AP198" s="237"/>
      <c r="AQ198" s="237"/>
      <c r="AR198" s="237"/>
      <c r="AS198" s="237"/>
      <c r="AT198" s="237"/>
      <c r="AU198" s="237"/>
      <c r="AV198" s="237"/>
      <c r="AW198" s="237"/>
      <c r="AX198" s="237"/>
      <c r="AY198" s="237"/>
      <c r="AZ198" s="237"/>
      <c r="BA198" s="237"/>
      <c r="BB198" s="237"/>
      <c r="BC198" s="237"/>
      <c r="BD198" s="237"/>
      <c r="BE198" s="237"/>
      <c r="BF198" s="237"/>
      <c r="BG198" s="237"/>
      <c r="BH198" s="237"/>
      <c r="BI198" s="237"/>
      <c r="BJ198" s="237"/>
      <c r="BK198" s="237"/>
      <c r="BL198" s="607"/>
    </row>
    <row r="199" spans="5:64" s="605" customFormat="1">
      <c r="E199" s="613"/>
      <c r="F199" s="608"/>
      <c r="U199" s="608"/>
      <c r="AI199" s="608"/>
      <c r="AJ199" s="606"/>
      <c r="AK199" s="237"/>
      <c r="AL199" s="237"/>
      <c r="AM199" s="237"/>
      <c r="AN199" s="237"/>
      <c r="AO199" s="237"/>
      <c r="AP199" s="237"/>
      <c r="AQ199" s="237"/>
      <c r="AR199" s="237"/>
      <c r="AS199" s="237"/>
      <c r="AT199" s="237"/>
      <c r="AU199" s="237"/>
      <c r="AV199" s="237"/>
      <c r="AW199" s="237"/>
      <c r="AX199" s="237"/>
      <c r="AY199" s="237"/>
      <c r="AZ199" s="237"/>
      <c r="BA199" s="237"/>
      <c r="BB199" s="237"/>
      <c r="BC199" s="237"/>
      <c r="BD199" s="237"/>
      <c r="BE199" s="237"/>
      <c r="BF199" s="237"/>
      <c r="BG199" s="237"/>
      <c r="BH199" s="237"/>
      <c r="BI199" s="237"/>
      <c r="BJ199" s="237"/>
      <c r="BK199" s="237"/>
      <c r="BL199" s="607"/>
    </row>
    <row r="200" spans="5:64" s="605" customFormat="1">
      <c r="E200" s="613"/>
      <c r="F200" s="608"/>
      <c r="U200" s="608"/>
      <c r="AI200" s="608"/>
      <c r="AJ200" s="606"/>
      <c r="AK200" s="237"/>
      <c r="AL200" s="237"/>
      <c r="AM200" s="237"/>
      <c r="AN200" s="237"/>
      <c r="AO200" s="237"/>
      <c r="AP200" s="237"/>
      <c r="AQ200" s="237"/>
      <c r="AR200" s="237"/>
      <c r="AS200" s="237"/>
      <c r="AT200" s="237"/>
      <c r="AU200" s="237"/>
      <c r="AV200" s="237"/>
      <c r="AW200" s="237"/>
      <c r="AX200" s="237"/>
      <c r="AY200" s="237"/>
      <c r="AZ200" s="237"/>
      <c r="BA200" s="237"/>
      <c r="BB200" s="237"/>
      <c r="BC200" s="237"/>
      <c r="BD200" s="237"/>
      <c r="BE200" s="237"/>
      <c r="BF200" s="237"/>
      <c r="BG200" s="237"/>
      <c r="BH200" s="237"/>
      <c r="BI200" s="237"/>
      <c r="BJ200" s="237"/>
      <c r="BK200" s="237"/>
      <c r="BL200" s="607"/>
    </row>
    <row r="201" spans="5:64" s="605" customFormat="1">
      <c r="E201" s="613"/>
      <c r="F201" s="608"/>
      <c r="U201" s="608"/>
      <c r="AI201" s="608"/>
      <c r="AJ201" s="606"/>
      <c r="AK201" s="237"/>
      <c r="AL201" s="237"/>
      <c r="AM201" s="237"/>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607"/>
    </row>
    <row r="202" spans="5:64" s="605" customFormat="1">
      <c r="E202" s="613"/>
      <c r="F202" s="608"/>
      <c r="U202" s="608"/>
      <c r="AI202" s="608"/>
      <c r="AJ202" s="606"/>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607"/>
    </row>
    <row r="203" spans="5:64" s="605" customFormat="1">
      <c r="E203" s="613"/>
      <c r="F203" s="608"/>
      <c r="U203" s="608"/>
      <c r="AI203" s="608"/>
      <c r="AJ203" s="606"/>
      <c r="AK203" s="237"/>
      <c r="AL203" s="237"/>
      <c r="AM203" s="237"/>
      <c r="AN203" s="237"/>
      <c r="AO203" s="237"/>
      <c r="AP203" s="237"/>
      <c r="AQ203" s="237"/>
      <c r="AR203" s="237"/>
      <c r="AS203" s="237"/>
      <c r="AT203" s="237"/>
      <c r="AU203" s="237"/>
      <c r="AV203" s="237"/>
      <c r="AW203" s="237"/>
      <c r="AX203" s="237"/>
      <c r="AY203" s="237"/>
      <c r="AZ203" s="237"/>
      <c r="BA203" s="237"/>
      <c r="BB203" s="237"/>
      <c r="BC203" s="237"/>
      <c r="BD203" s="237"/>
      <c r="BE203" s="237"/>
      <c r="BF203" s="237"/>
      <c r="BG203" s="237"/>
      <c r="BH203" s="237"/>
      <c r="BI203" s="237"/>
      <c r="BJ203" s="237"/>
      <c r="BK203" s="237"/>
      <c r="BL203" s="607"/>
    </row>
    <row r="204" spans="5:64" s="605" customFormat="1">
      <c r="E204" s="613"/>
      <c r="F204" s="608"/>
      <c r="U204" s="608"/>
      <c r="AI204" s="608"/>
      <c r="AJ204" s="606"/>
      <c r="AK204" s="237"/>
      <c r="AL204" s="237"/>
      <c r="AM204" s="237"/>
      <c r="AN204" s="237"/>
      <c r="AO204" s="237"/>
      <c r="AP204" s="237"/>
      <c r="AQ204" s="237"/>
      <c r="AR204" s="237"/>
      <c r="AS204" s="237"/>
      <c r="AT204" s="237"/>
      <c r="AU204" s="237"/>
      <c r="AV204" s="237"/>
      <c r="AW204" s="237"/>
      <c r="AX204" s="237"/>
      <c r="AY204" s="237"/>
      <c r="AZ204" s="237"/>
      <c r="BA204" s="237"/>
      <c r="BB204" s="237"/>
      <c r="BC204" s="237"/>
      <c r="BD204" s="237"/>
      <c r="BE204" s="237"/>
      <c r="BF204" s="237"/>
      <c r="BG204" s="237"/>
      <c r="BH204" s="237"/>
      <c r="BI204" s="237"/>
      <c r="BJ204" s="237"/>
      <c r="BK204" s="237"/>
      <c r="BL204" s="607"/>
    </row>
    <row r="205" spans="5:64" s="605" customFormat="1">
      <c r="E205" s="613"/>
      <c r="F205" s="608"/>
      <c r="U205" s="608"/>
      <c r="AI205" s="608"/>
      <c r="AJ205" s="606"/>
      <c r="AK205" s="237"/>
      <c r="AL205" s="237"/>
      <c r="AM205" s="237"/>
      <c r="AN205" s="237"/>
      <c r="AO205" s="237"/>
      <c r="AP205" s="237"/>
      <c r="AQ205" s="237"/>
      <c r="AR205" s="237"/>
      <c r="AS205" s="237"/>
      <c r="AT205" s="237"/>
      <c r="AU205" s="237"/>
      <c r="AV205" s="237"/>
      <c r="AW205" s="237"/>
      <c r="AX205" s="237"/>
      <c r="AY205" s="237"/>
      <c r="AZ205" s="237"/>
      <c r="BA205" s="237"/>
      <c r="BB205" s="237"/>
      <c r="BC205" s="237"/>
      <c r="BD205" s="237"/>
      <c r="BE205" s="237"/>
      <c r="BF205" s="237"/>
      <c r="BG205" s="237"/>
      <c r="BH205" s="237"/>
      <c r="BI205" s="237"/>
      <c r="BJ205" s="237"/>
      <c r="BK205" s="237"/>
      <c r="BL205" s="607"/>
    </row>
    <row r="206" spans="5:64" s="605" customFormat="1">
      <c r="E206" s="613"/>
      <c r="F206" s="608"/>
      <c r="U206" s="608"/>
      <c r="AI206" s="608"/>
      <c r="AJ206" s="606"/>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607"/>
    </row>
    <row r="207" spans="5:64" s="605" customFormat="1">
      <c r="E207" s="613"/>
      <c r="F207" s="608"/>
      <c r="U207" s="608"/>
      <c r="AI207" s="608"/>
      <c r="AJ207" s="606"/>
      <c r="AK207" s="237"/>
      <c r="AL207" s="237"/>
      <c r="AM207" s="237"/>
      <c r="AN207" s="237"/>
      <c r="AO207" s="237"/>
      <c r="AP207" s="237"/>
      <c r="AQ207" s="237"/>
      <c r="AR207" s="237"/>
      <c r="AS207" s="237"/>
      <c r="AT207" s="237"/>
      <c r="AU207" s="237"/>
      <c r="AV207" s="237"/>
      <c r="AW207" s="237"/>
      <c r="AX207" s="237"/>
      <c r="AY207" s="237"/>
      <c r="AZ207" s="237"/>
      <c r="BA207" s="237"/>
      <c r="BB207" s="237"/>
      <c r="BC207" s="237"/>
      <c r="BD207" s="237"/>
      <c r="BE207" s="237"/>
      <c r="BF207" s="237"/>
      <c r="BG207" s="237"/>
      <c r="BH207" s="237"/>
      <c r="BI207" s="237"/>
      <c r="BJ207" s="237"/>
      <c r="BK207" s="237"/>
      <c r="BL207" s="607"/>
    </row>
    <row r="208" spans="5:64" s="605" customFormat="1">
      <c r="E208" s="613"/>
      <c r="F208" s="608"/>
      <c r="U208" s="608"/>
      <c r="AI208" s="608"/>
      <c r="AJ208" s="606"/>
      <c r="AK208" s="237"/>
      <c r="AL208" s="237"/>
      <c r="AM208" s="237"/>
      <c r="AN208" s="237"/>
      <c r="AO208" s="237"/>
      <c r="AP208" s="237"/>
      <c r="AQ208" s="237"/>
      <c r="AR208" s="237"/>
      <c r="AS208" s="237"/>
      <c r="AT208" s="237"/>
      <c r="AU208" s="237"/>
      <c r="AV208" s="237"/>
      <c r="AW208" s="237"/>
      <c r="AX208" s="237"/>
      <c r="AY208" s="237"/>
      <c r="AZ208" s="237"/>
      <c r="BA208" s="237"/>
      <c r="BB208" s="237"/>
      <c r="BC208" s="237"/>
      <c r="BD208" s="237"/>
      <c r="BE208" s="237"/>
      <c r="BF208" s="237"/>
      <c r="BG208" s="237"/>
      <c r="BH208" s="237"/>
      <c r="BI208" s="237"/>
      <c r="BJ208" s="237"/>
      <c r="BK208" s="237"/>
      <c r="BL208" s="607"/>
    </row>
    <row r="209" spans="5:64" s="605" customFormat="1">
      <c r="E209" s="613"/>
      <c r="F209" s="608"/>
      <c r="U209" s="608"/>
      <c r="AI209" s="608"/>
      <c r="AJ209" s="606"/>
      <c r="AK209" s="237"/>
      <c r="AL209" s="237"/>
      <c r="AM209" s="237"/>
      <c r="AN209" s="237"/>
      <c r="AO209" s="237"/>
      <c r="AP209" s="237"/>
      <c r="AQ209" s="237"/>
      <c r="AR209" s="237"/>
      <c r="AS209" s="237"/>
      <c r="AT209" s="237"/>
      <c r="AU209" s="237"/>
      <c r="AV209" s="237"/>
      <c r="AW209" s="237"/>
      <c r="AX209" s="237"/>
      <c r="AY209" s="237"/>
      <c r="AZ209" s="237"/>
      <c r="BA209" s="237"/>
      <c r="BB209" s="237"/>
      <c r="BC209" s="237"/>
      <c r="BD209" s="237"/>
      <c r="BE209" s="237"/>
      <c r="BF209" s="237"/>
      <c r="BG209" s="237"/>
      <c r="BH209" s="237"/>
      <c r="BI209" s="237"/>
      <c r="BJ209" s="237"/>
      <c r="BK209" s="237"/>
      <c r="BL209" s="607"/>
    </row>
    <row r="210" spans="5:64" s="605" customFormat="1">
      <c r="E210" s="613"/>
      <c r="F210" s="608"/>
      <c r="U210" s="608"/>
      <c r="AI210" s="608"/>
      <c r="AJ210" s="606"/>
      <c r="AK210" s="237"/>
      <c r="AL210" s="237"/>
      <c r="AM210" s="237"/>
      <c r="AN210" s="237"/>
      <c r="AO210" s="237"/>
      <c r="AP210" s="237"/>
      <c r="AQ210" s="237"/>
      <c r="AR210" s="237"/>
      <c r="AS210" s="237"/>
      <c r="AT210" s="237"/>
      <c r="AU210" s="237"/>
      <c r="AV210" s="237"/>
      <c r="AW210" s="237"/>
      <c r="AX210" s="237"/>
      <c r="AY210" s="237"/>
      <c r="AZ210" s="237"/>
      <c r="BA210" s="237"/>
      <c r="BB210" s="237"/>
      <c r="BC210" s="237"/>
      <c r="BD210" s="237"/>
      <c r="BE210" s="237"/>
      <c r="BF210" s="237"/>
      <c r="BG210" s="237"/>
      <c r="BH210" s="237"/>
      <c r="BI210" s="237"/>
      <c r="BJ210" s="237"/>
      <c r="BK210" s="237"/>
      <c r="BL210" s="607"/>
    </row>
    <row r="211" spans="5:64" s="605" customFormat="1">
      <c r="E211" s="613"/>
      <c r="F211" s="608"/>
      <c r="U211" s="608"/>
      <c r="AI211" s="608"/>
      <c r="AJ211" s="606"/>
      <c r="AK211" s="237"/>
      <c r="AL211" s="237"/>
      <c r="AM211" s="237"/>
      <c r="AN211" s="237"/>
      <c r="AO211" s="237"/>
      <c r="AP211" s="237"/>
      <c r="AQ211" s="237"/>
      <c r="AR211" s="237"/>
      <c r="AS211" s="237"/>
      <c r="AT211" s="237"/>
      <c r="AU211" s="237"/>
      <c r="AV211" s="237"/>
      <c r="AW211" s="237"/>
      <c r="AX211" s="237"/>
      <c r="AY211" s="237"/>
      <c r="AZ211" s="237"/>
      <c r="BA211" s="237"/>
      <c r="BB211" s="237"/>
      <c r="BC211" s="237"/>
      <c r="BD211" s="237"/>
      <c r="BE211" s="237"/>
      <c r="BF211" s="237"/>
      <c r="BG211" s="237"/>
      <c r="BH211" s="237"/>
      <c r="BI211" s="237"/>
      <c r="BJ211" s="237"/>
      <c r="BK211" s="237"/>
      <c r="BL211" s="607"/>
    </row>
    <row r="212" spans="5:64" s="605" customFormat="1">
      <c r="E212" s="613"/>
      <c r="F212" s="608"/>
      <c r="U212" s="608"/>
      <c r="AI212" s="608"/>
      <c r="AJ212" s="606"/>
      <c r="AK212" s="237"/>
      <c r="AL212" s="237"/>
      <c r="AM212" s="237"/>
      <c r="AN212" s="237"/>
      <c r="AO212" s="237"/>
      <c r="AP212" s="237"/>
      <c r="AQ212" s="237"/>
      <c r="AR212" s="237"/>
      <c r="AS212" s="237"/>
      <c r="AT212" s="237"/>
      <c r="AU212" s="237"/>
      <c r="AV212" s="237"/>
      <c r="AW212" s="237"/>
      <c r="AX212" s="237"/>
      <c r="AY212" s="237"/>
      <c r="AZ212" s="237"/>
      <c r="BA212" s="237"/>
      <c r="BB212" s="237"/>
      <c r="BC212" s="237"/>
      <c r="BD212" s="237"/>
      <c r="BE212" s="237"/>
      <c r="BF212" s="237"/>
      <c r="BG212" s="237"/>
      <c r="BH212" s="237"/>
      <c r="BI212" s="237"/>
      <c r="BJ212" s="237"/>
      <c r="BK212" s="237"/>
      <c r="BL212" s="607"/>
    </row>
    <row r="213" spans="5:64" s="605" customFormat="1">
      <c r="E213" s="613"/>
      <c r="F213" s="608"/>
      <c r="U213" s="608"/>
      <c r="AI213" s="608"/>
      <c r="AJ213" s="606"/>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607"/>
    </row>
    <row r="214" spans="5:64">
      <c r="AI214" s="97"/>
      <c r="AJ214" s="238"/>
    </row>
    <row r="215" spans="5:64">
      <c r="AI215" s="97"/>
      <c r="AJ215" s="238"/>
    </row>
    <row r="216" spans="5:64">
      <c r="AI216" s="97"/>
      <c r="AJ216" s="238"/>
    </row>
    <row r="217" spans="5:64">
      <c r="AI217" s="97"/>
      <c r="AJ217" s="238"/>
    </row>
    <row r="218" spans="5:64">
      <c r="AI218" s="97"/>
      <c r="AJ218" s="238"/>
    </row>
    <row r="219" spans="5:64">
      <c r="AI219" s="97"/>
      <c r="AJ219" s="238"/>
    </row>
    <row r="220" spans="5:64">
      <c r="AI220" s="97"/>
      <c r="AJ220" s="238"/>
    </row>
    <row r="221" spans="5:64">
      <c r="AI221" s="97"/>
      <c r="AJ221" s="238"/>
    </row>
    <row r="222" spans="5:64">
      <c r="AI222" s="97"/>
      <c r="AJ222" s="238"/>
    </row>
    <row r="223" spans="5:64">
      <c r="AI223" s="97"/>
      <c r="AJ223" s="238"/>
    </row>
    <row r="224" spans="5:64">
      <c r="AI224" s="97"/>
      <c r="AJ224" s="238"/>
    </row>
    <row r="225" spans="35:36">
      <c r="AI225" s="97"/>
      <c r="AJ225" s="238"/>
    </row>
    <row r="226" spans="35:36">
      <c r="AI226" s="97"/>
      <c r="AJ226" s="238"/>
    </row>
    <row r="227" spans="35:36">
      <c r="AI227" s="97"/>
      <c r="AJ227" s="238"/>
    </row>
    <row r="228" spans="35:36">
      <c r="AI228" s="97"/>
      <c r="AJ228" s="238"/>
    </row>
    <row r="229" spans="35:36">
      <c r="AI229" s="97"/>
      <c r="AJ229" s="238"/>
    </row>
    <row r="230" spans="35:36">
      <c r="AI230" s="97"/>
      <c r="AJ230" s="238"/>
    </row>
    <row r="231" spans="35:36">
      <c r="AI231" s="97"/>
      <c r="AJ231" s="238"/>
    </row>
    <row r="232" spans="35:36">
      <c r="AI232" s="97"/>
      <c r="AJ232" s="238"/>
    </row>
    <row r="233" spans="35:36">
      <c r="AI233" s="97"/>
      <c r="AJ233" s="238"/>
    </row>
    <row r="234" spans="35:36">
      <c r="AI234" s="97"/>
      <c r="AJ234" s="238"/>
    </row>
    <row r="235" spans="35:36">
      <c r="AI235" s="97"/>
      <c r="AJ235" s="238"/>
    </row>
    <row r="236" spans="35:36">
      <c r="AI236" s="97"/>
      <c r="AJ236" s="238"/>
    </row>
    <row r="237" spans="35:36">
      <c r="AI237" s="97"/>
      <c r="AJ237" s="238"/>
    </row>
    <row r="238" spans="35:36">
      <c r="AI238" s="97"/>
      <c r="AJ238" s="238"/>
    </row>
    <row r="239" spans="35:36">
      <c r="AI239" s="97"/>
      <c r="AJ239" s="238"/>
    </row>
    <row r="240" spans="35:36">
      <c r="AI240" s="97"/>
      <c r="AJ240" s="238"/>
    </row>
  </sheetData>
  <mergeCells count="5">
    <mergeCell ref="G5:T5"/>
    <mergeCell ref="V5:AH5"/>
    <mergeCell ref="G53:T53"/>
    <mergeCell ref="V53:AH53"/>
    <mergeCell ref="C87:AH87"/>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2:C126 E17:E21 E9:E15 E35:E39 E26:E33 E56:E86" xr:uid="{00000000-0002-0000-1800-000000000000}">
      <formula1>$C$102:$C$126</formula1>
    </dataValidation>
  </dataValidations>
  <printOptions horizontalCentered="1"/>
  <pageMargins left="0.70866141732283472" right="0.70866141732283472" top="0.74803149606299213" bottom="0.74803149606299213" header="0.74803149606299213" footer="0.35433070866141736"/>
  <pageSetup paperSize="9" scale="42" fitToHeight="2" orientation="portrait" r:id="rId1"/>
  <headerFooter differentOddEven="1">
    <oddFooter>&amp;R&amp;G</oddFooter>
    <evenFooter>&amp;L&amp;G</evenFooter>
  </headerFooter>
  <rowBreaks count="1" manualBreakCount="1">
    <brk id="50" max="34" man="1"/>
  </rowBreaks>
  <ignoredErrors>
    <ignoredError sqref="L16:AH16 L18:AH18 L34:AH34 L36:AH36 G12:AH12 G16:J16 G18:J18 K16:K18 G29:AH29 G34:K36 T66 AH73 T58" formula="1"/>
    <ignoredError sqref="S86 G97:V98 H99 X99 S57:S66"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7"/>
  <sheetViews>
    <sheetView showGridLines="0" zoomScaleNormal="100" zoomScaleSheetLayoutView="100" workbookViewId="0">
      <selection activeCell="B2" sqref="B2"/>
    </sheetView>
  </sheetViews>
  <sheetFormatPr defaultColWidth="9.140625" defaultRowHeight="11.25"/>
  <cols>
    <col min="1" max="1" width="2.42578125" style="185" customWidth="1"/>
    <col min="2" max="2" width="4.42578125" style="185" customWidth="1"/>
    <col min="3" max="3" width="43.5703125" style="185" customWidth="1"/>
    <col min="4" max="4" width="14.42578125" style="185" customWidth="1"/>
    <col min="5" max="5" width="13.85546875" style="185" customWidth="1"/>
    <col min="6" max="6" width="2.5703125" style="185" customWidth="1"/>
    <col min="7" max="8" width="13.85546875" style="185" customWidth="1"/>
    <col min="9" max="9" width="2.5703125" style="185" customWidth="1"/>
    <col min="10" max="16384" width="9.140625" style="185"/>
  </cols>
  <sheetData>
    <row r="1" spans="2:12" s="50" customFormat="1" ht="15" customHeight="1">
      <c r="B1" s="49"/>
      <c r="F1" s="184"/>
      <c r="I1" s="184"/>
    </row>
    <row r="2" spans="2:12" ht="24" customHeight="1">
      <c r="B2" s="8"/>
      <c r="C2" s="51" t="str">
        <f>IF(Indice_index!$Z$1=1,"21 - Estimativas de execução consideradas na conta da Administração Central","21 - Estimated amounts in Central Government Account")</f>
        <v>21 - Estimated amounts in Central Government Account</v>
      </c>
      <c r="D2" s="51"/>
      <c r="E2" s="51"/>
      <c r="F2" s="51"/>
      <c r="G2" s="51"/>
      <c r="H2" s="51"/>
      <c r="I2" s="51"/>
    </row>
    <row r="3" spans="2:12" s="187" customFormat="1" ht="15" customHeight="1">
      <c r="B3" s="184"/>
      <c r="C3" s="186"/>
      <c r="F3" s="184"/>
      <c r="I3" s="184"/>
    </row>
    <row r="4" spans="2:12" s="187" customFormat="1" ht="15" customHeight="1">
      <c r="B4" s="184"/>
      <c r="C4" s="188"/>
      <c r="F4" s="184"/>
      <c r="I4" s="184"/>
    </row>
    <row r="5" spans="2:12" s="187" customFormat="1" ht="15" customHeight="1">
      <c r="B5" s="184"/>
      <c r="C5" s="1381" t="str">
        <f>+'5 - Conta AC + SS'!C5</f>
        <v>Period: January to May</v>
      </c>
      <c r="D5" s="1382"/>
      <c r="F5" s="1382"/>
      <c r="H5" s="1382" t="str">
        <f>IF(Indice_index!$Z$1=1,"€ Milhões","€ Millions")</f>
        <v>€ Millions</v>
      </c>
      <c r="I5" s="1382"/>
    </row>
    <row r="6" spans="2:12" s="187" customFormat="1" ht="79.5" customHeight="1">
      <c r="B6" s="184"/>
      <c r="C6" s="1383"/>
      <c r="D6" s="1384" t="s">
        <v>78</v>
      </c>
      <c r="E6" s="1384" t="s">
        <v>585</v>
      </c>
      <c r="F6" s="1385"/>
      <c r="G6" s="1384" t="s">
        <v>97</v>
      </c>
      <c r="H6" s="1384" t="s">
        <v>596</v>
      </c>
      <c r="I6" s="1385"/>
    </row>
    <row r="7" spans="2:12" s="187" customFormat="1" ht="15" customHeight="1">
      <c r="B7" s="184"/>
      <c r="C7" s="1386" t="str">
        <f>IF(Indice_index!$Z$1=1,"Receita corrente","Current revenue")</f>
        <v>Current revenue</v>
      </c>
      <c r="D7" s="1387">
        <f>+D8+D9+D10+D12</f>
        <v>0</v>
      </c>
      <c r="E7" s="1387">
        <f>+E8+E9+E10+E12</f>
        <v>5.0000000000000001E-3</v>
      </c>
      <c r="F7" s="1387"/>
      <c r="G7" s="1387">
        <f>+G8+G9+G10+G12</f>
        <v>0</v>
      </c>
      <c r="H7" s="1387">
        <f>+H8+H9+H10+H12</f>
        <v>0</v>
      </c>
      <c r="I7" s="1387"/>
    </row>
    <row r="8" spans="2:12" s="187" customFormat="1" ht="15" customHeight="1">
      <c r="B8" s="184"/>
      <c r="C8" s="791" t="str">
        <f>IF(Indice_index!$Z$1=1,"Receita fiscal","Tax")</f>
        <v>Tax</v>
      </c>
      <c r="D8" s="1388">
        <v>0</v>
      </c>
      <c r="E8" s="1388">
        <v>0</v>
      </c>
      <c r="F8" s="1388"/>
      <c r="G8" s="1388">
        <v>0</v>
      </c>
      <c r="H8" s="1388">
        <v>0</v>
      </c>
      <c r="I8" s="1388"/>
      <c r="L8" s="187" t="s">
        <v>40</v>
      </c>
    </row>
    <row r="9" spans="2:12" s="187" customFormat="1" ht="15" customHeight="1">
      <c r="B9" s="184"/>
      <c r="C9" s="682" t="str">
        <f>IF(Indice_index!$Z$1=1,"Contribuições para Segurança Social, CGA e ADSE","Social security, CGA and ADSE contributions")</f>
        <v>Social security, CGA and ADSE contributions</v>
      </c>
      <c r="D9" s="1388">
        <v>0</v>
      </c>
      <c r="E9" s="1388">
        <v>0</v>
      </c>
      <c r="F9" s="1388"/>
      <c r="G9" s="1388">
        <v>0</v>
      </c>
      <c r="H9" s="1388">
        <v>0</v>
      </c>
      <c r="I9" s="1388"/>
    </row>
    <row r="10" spans="2:12" s="187" customFormat="1" ht="15" customHeight="1">
      <c r="B10" s="184"/>
      <c r="C10" s="682" t="str">
        <f>IF(Indice_index!$Z$1=1,"Transferências correntes","Current transfers")</f>
        <v>Current transfers</v>
      </c>
      <c r="D10" s="1388">
        <v>0</v>
      </c>
      <c r="E10" s="1388">
        <v>5.0000000000000001E-3</v>
      </c>
      <c r="F10" s="1388"/>
      <c r="G10" s="1388">
        <v>0</v>
      </c>
      <c r="H10" s="1388">
        <v>0</v>
      </c>
      <c r="I10" s="1388"/>
    </row>
    <row r="11" spans="2:12" s="187" customFormat="1" ht="15" customHeight="1">
      <c r="B11" s="184"/>
      <c r="C11" s="683" t="str">
        <f>IF(Indice_index!$Z$1=1,"das quais: Administração Central","of which: Central Administration")</f>
        <v>of which: Central Administration</v>
      </c>
      <c r="D11" s="1388">
        <v>0</v>
      </c>
      <c r="E11" s="1388">
        <v>0</v>
      </c>
      <c r="F11" s="1388"/>
      <c r="G11" s="1388">
        <v>0</v>
      </c>
      <c r="H11" s="1388">
        <v>0</v>
      </c>
      <c r="I11" s="1388"/>
    </row>
    <row r="12" spans="2:12" s="187" customFormat="1" ht="15" customHeight="1">
      <c r="B12" s="184"/>
      <c r="C12" s="682" t="str">
        <f>IF(Indice_index!$Z$1=1,"Outras receitas correntes","Other current revenue")</f>
        <v>Other current revenue</v>
      </c>
      <c r="D12" s="1388">
        <v>0</v>
      </c>
      <c r="E12" s="1388">
        <v>0</v>
      </c>
      <c r="F12" s="1388"/>
      <c r="G12" s="1388">
        <v>0</v>
      </c>
      <c r="H12" s="1388">
        <v>0</v>
      </c>
      <c r="I12" s="1388"/>
    </row>
    <row r="13" spans="2:12" s="187" customFormat="1" ht="15" customHeight="1">
      <c r="B13" s="184"/>
      <c r="C13" s="683" t="str">
        <f>IF(Indice_index!$Z$1=1,"das quais: Administração Central","of which: Central Administration")</f>
        <v>of which: Central Administration</v>
      </c>
      <c r="D13" s="1388">
        <v>0</v>
      </c>
      <c r="E13" s="1388">
        <v>0</v>
      </c>
      <c r="F13" s="1388"/>
      <c r="G13" s="1388">
        <v>0</v>
      </c>
      <c r="H13" s="1388">
        <v>0</v>
      </c>
      <c r="I13" s="1388"/>
    </row>
    <row r="14" spans="2:12" s="187" customFormat="1" ht="15" customHeight="1">
      <c r="B14" s="184"/>
      <c r="C14" s="683" t="str">
        <f>IF(Indice_index!$Z$1=1,"das quais: das quais: Vendas de bens e serviços / Saúde","of which: Sales of goods and services / Health sector")</f>
        <v>of which: Sales of goods and services / Health sector</v>
      </c>
      <c r="D14" s="1388">
        <v>0</v>
      </c>
      <c r="E14" s="1388">
        <v>0</v>
      </c>
      <c r="F14" s="1388"/>
      <c r="G14" s="1388">
        <v>0</v>
      </c>
      <c r="H14" s="1388">
        <v>0</v>
      </c>
      <c r="I14" s="1388"/>
    </row>
    <row r="15" spans="2:12" s="187" customFormat="1" ht="15" customHeight="1">
      <c r="B15" s="184"/>
      <c r="C15" s="1386" t="str">
        <f>IF(Indice_index!$Z$1=1,"Receita de capital","Capital revenue")</f>
        <v>Capital revenue</v>
      </c>
      <c r="D15" s="1387">
        <f>+D16+D17+D19</f>
        <v>0</v>
      </c>
      <c r="E15" s="1387">
        <f>+E16+E17+E19</f>
        <v>0</v>
      </c>
      <c r="F15" s="1387"/>
      <c r="G15" s="1387">
        <f>+G16+G17+G19</f>
        <v>0</v>
      </c>
      <c r="H15" s="1387">
        <f>+H16+H17+H19</f>
        <v>0</v>
      </c>
      <c r="I15" s="1387"/>
    </row>
    <row r="16" spans="2:12" s="187" customFormat="1" ht="15" customHeight="1">
      <c r="B16" s="184"/>
      <c r="C16" s="682" t="str">
        <f>IF(Indice_index!$Z$1=1,"Venda de bens de investimento","Sale of investment goods")</f>
        <v>Sale of investment goods</v>
      </c>
      <c r="D16" s="1388">
        <v>0</v>
      </c>
      <c r="E16" s="1388">
        <v>0</v>
      </c>
      <c r="F16" s="1388"/>
      <c r="G16" s="1388">
        <v>0</v>
      </c>
      <c r="H16" s="1388">
        <v>0</v>
      </c>
      <c r="I16" s="1388"/>
    </row>
    <row r="17" spans="2:9" s="187" customFormat="1" ht="15" customHeight="1">
      <c r="B17" s="184"/>
      <c r="C17" s="682" t="str">
        <f>IF(Indice_index!$Z$1=1,"Transferências de capital","Capital transfers")</f>
        <v>Capital transfers</v>
      </c>
      <c r="D17" s="1388">
        <v>0</v>
      </c>
      <c r="E17" s="1388">
        <v>0</v>
      </c>
      <c r="F17" s="1388"/>
      <c r="G17" s="1388">
        <v>0</v>
      </c>
      <c r="H17" s="1388">
        <v>0</v>
      </c>
      <c r="I17" s="1388"/>
    </row>
    <row r="18" spans="2:9" s="187" customFormat="1" ht="15" customHeight="1">
      <c r="B18" s="184"/>
      <c r="C18" s="683" t="str">
        <f>IF(Indice_index!$Z$1=1,"das quais: Administração Central","of which: Central Administration")</f>
        <v>of which: Central Administration</v>
      </c>
      <c r="D18" s="1388">
        <v>0</v>
      </c>
      <c r="E18" s="1388">
        <v>0</v>
      </c>
      <c r="F18" s="1388"/>
      <c r="G18" s="1388">
        <v>0</v>
      </c>
      <c r="H18" s="1388">
        <v>0</v>
      </c>
      <c r="I18" s="1388"/>
    </row>
    <row r="19" spans="2:9" s="187" customFormat="1" ht="15" customHeight="1">
      <c r="B19" s="184"/>
      <c r="C19" s="682" t="str">
        <f>IF(Indice_index!$Z$1=1,"Outras receitas de capital","Other capital revenue")</f>
        <v>Other capital revenue</v>
      </c>
      <c r="D19" s="1388">
        <v>0</v>
      </c>
      <c r="E19" s="1388">
        <v>0</v>
      </c>
      <c r="F19" s="1388"/>
      <c r="G19" s="1388">
        <v>0</v>
      </c>
      <c r="H19" s="1388">
        <v>0</v>
      </c>
      <c r="I19" s="1388"/>
    </row>
    <row r="20" spans="2:9" s="187" customFormat="1" ht="15" customHeight="1">
      <c r="B20" s="184"/>
      <c r="C20" s="1386" t="str">
        <f>IF(Indice_index!$Z$1=1,"Receita efetiva","Effective revenue")</f>
        <v>Effective revenue</v>
      </c>
      <c r="D20" s="1387">
        <f>+D7+D15</f>
        <v>0</v>
      </c>
      <c r="E20" s="1387">
        <f>+E7+E15</f>
        <v>5.0000000000000001E-3</v>
      </c>
      <c r="F20" s="1387"/>
      <c r="G20" s="1387">
        <f>+G7+G15</f>
        <v>0</v>
      </c>
      <c r="H20" s="1387">
        <f>+H7+H15</f>
        <v>0</v>
      </c>
      <c r="I20" s="1387"/>
    </row>
    <row r="21" spans="2:9" s="187" customFormat="1" ht="4.5" customHeight="1">
      <c r="B21" s="184"/>
      <c r="C21" s="1386"/>
      <c r="D21" s="1387"/>
      <c r="E21" s="1387"/>
      <c r="F21" s="1387"/>
      <c r="G21" s="1387"/>
      <c r="H21" s="1387"/>
      <c r="I21" s="1387"/>
    </row>
    <row r="22" spans="2:9" s="187" customFormat="1" ht="15" customHeight="1">
      <c r="B22" s="184"/>
      <c r="C22" s="1386" t="str">
        <f>IF(Indice_index!$Z$1=1,"Despesa corrente","Current expenditure")</f>
        <v>Current expenditure</v>
      </c>
      <c r="D22" s="1387">
        <f>+D23+D24+D26+D28+D30+D32</f>
        <v>8.2699999999999996E-2</v>
      </c>
      <c r="E22" s="1387">
        <f>+E23+E24+E26+E28+E30+E32</f>
        <v>4.5000000000000005E-3</v>
      </c>
      <c r="F22" s="1387"/>
      <c r="G22" s="1387">
        <f>+G23+G24+G26+G28+G30+G32</f>
        <v>1.67022015</v>
      </c>
      <c r="H22" s="1387">
        <f>+H23+H24+H26+H28+H30+H32</f>
        <v>5.9775711300000003</v>
      </c>
      <c r="I22" s="1387"/>
    </row>
    <row r="23" spans="2:9" s="187" customFormat="1" ht="15" customHeight="1">
      <c r="B23" s="184"/>
      <c r="C23" s="682" t="str">
        <f>IF(Indice_index!$Z$1=1,"Despesas com o pessoal","Employees")</f>
        <v>Employees</v>
      </c>
      <c r="D23" s="1388">
        <v>4.9810000000000002E-3</v>
      </c>
      <c r="E23" s="1388">
        <v>0</v>
      </c>
      <c r="F23" s="1388"/>
      <c r="G23" s="1388">
        <v>0</v>
      </c>
      <c r="H23" s="1388">
        <v>5.9751814400000001</v>
      </c>
      <c r="I23" s="1388"/>
    </row>
    <row r="24" spans="2:9" s="187" customFormat="1" ht="15" customHeight="1">
      <c r="B24" s="184"/>
      <c r="C24" s="682" t="str">
        <f>IF(Indice_index!$Z$1=1,"Aquisição de bens e serviços","Purchase of goods and services")</f>
        <v>Purchase of goods and services</v>
      </c>
      <c r="D24" s="1388">
        <v>7.7718999999999996E-2</v>
      </c>
      <c r="E24" s="1388">
        <v>4.1790000000000004E-3</v>
      </c>
      <c r="F24" s="1388"/>
      <c r="G24" s="1388">
        <v>1.4990158099999999</v>
      </c>
      <c r="H24" s="1388">
        <v>2.3896899999999804E-3</v>
      </c>
      <c r="I24" s="1388"/>
    </row>
    <row r="25" spans="2:9" s="187" customFormat="1" ht="15" customHeight="1">
      <c r="B25" s="184"/>
      <c r="C25" s="683" t="str">
        <f>IF(Indice_index!$Z$1=1,"das quais: das quais: Aquisição de bens e serviços / Saúde","of which: Purchase of goods and services / Health sector")</f>
        <v>of which: Purchase of goods and services / Health sector</v>
      </c>
      <c r="D25" s="1389">
        <v>0</v>
      </c>
      <c r="E25" s="1389">
        <v>0</v>
      </c>
      <c r="F25" s="1389"/>
      <c r="G25" s="1389">
        <v>0</v>
      </c>
      <c r="H25" s="1389">
        <v>0</v>
      </c>
      <c r="I25" s="1389"/>
    </row>
    <row r="26" spans="2:9" s="187" customFormat="1" ht="15" customHeight="1">
      <c r="B26" s="184"/>
      <c r="C26" s="682" t="str">
        <f>IF(Indice_index!$Z$1=1,"Juros e outros encargos","Interests and other charges")</f>
        <v>Interests and other charges</v>
      </c>
      <c r="D26" s="1388">
        <v>0</v>
      </c>
      <c r="E26" s="1388">
        <v>0</v>
      </c>
      <c r="F26" s="1388"/>
      <c r="G26" s="1388">
        <v>0</v>
      </c>
      <c r="H26" s="1388">
        <v>0</v>
      </c>
      <c r="I26" s="1388"/>
    </row>
    <row r="27" spans="2:9" s="187" customFormat="1" ht="15" customHeight="1">
      <c r="B27" s="184"/>
      <c r="C27" s="683" t="str">
        <f>IF(Indice_index!$Z$1=1,"dos quais: Administração Central","of which: Central Administration")</f>
        <v>of which: Central Administration</v>
      </c>
      <c r="D27" s="1388">
        <v>0</v>
      </c>
      <c r="E27" s="1388">
        <v>0</v>
      </c>
      <c r="F27" s="1388"/>
      <c r="G27" s="1388">
        <v>0</v>
      </c>
      <c r="H27" s="1388">
        <v>0</v>
      </c>
      <c r="I27" s="1388"/>
    </row>
    <row r="28" spans="2:9" s="187" customFormat="1" ht="15" customHeight="1">
      <c r="B28" s="184"/>
      <c r="C28" s="682" t="str">
        <f>IF(Indice_index!$Z$1=1,"Transferências correntes","Current transfers")</f>
        <v>Current transfers</v>
      </c>
      <c r="D28" s="1388">
        <v>0</v>
      </c>
      <c r="E28" s="1388">
        <v>3.21E-4</v>
      </c>
      <c r="F28" s="1388"/>
      <c r="G28" s="1388">
        <v>0</v>
      </c>
      <c r="H28" s="1388">
        <v>0</v>
      </c>
      <c r="I28" s="1388"/>
    </row>
    <row r="29" spans="2:9" s="187" customFormat="1" ht="15" customHeight="1">
      <c r="B29" s="184"/>
      <c r="C29" s="683" t="str">
        <f>IF(Indice_index!$Z$1=1,"das quais: Administração Central","of which: Central Administration")</f>
        <v>of which: Central Administration</v>
      </c>
      <c r="D29" s="1389">
        <v>0</v>
      </c>
      <c r="E29" s="1389">
        <v>0</v>
      </c>
      <c r="F29" s="1389"/>
      <c r="G29" s="1389">
        <v>0</v>
      </c>
      <c r="H29" s="1389">
        <v>0</v>
      </c>
      <c r="I29" s="1389"/>
    </row>
    <row r="30" spans="2:9" s="187" customFormat="1" ht="15" customHeight="1">
      <c r="B30" s="184"/>
      <c r="C30" s="682" t="str">
        <f>IF(Indice_index!$Z$1=1,"Subsídios","Subsidies")</f>
        <v>Subsidies</v>
      </c>
      <c r="D30" s="1388">
        <v>0</v>
      </c>
      <c r="E30" s="1388">
        <v>0</v>
      </c>
      <c r="F30" s="1388"/>
      <c r="G30" s="1388">
        <v>0</v>
      </c>
      <c r="H30" s="1388">
        <v>0</v>
      </c>
      <c r="I30" s="1388"/>
    </row>
    <row r="31" spans="2:9" s="187" customFormat="1" ht="15" customHeight="1">
      <c r="B31" s="184"/>
      <c r="C31" s="683" t="str">
        <f>IF(Indice_index!$Z$1=1,"dos quais: Administração Central","of which: Central Administration")</f>
        <v>of which: Central Administration</v>
      </c>
      <c r="D31" s="1389">
        <v>0</v>
      </c>
      <c r="E31" s="1389">
        <v>0</v>
      </c>
      <c r="F31" s="1389"/>
      <c r="G31" s="1389">
        <v>0</v>
      </c>
      <c r="H31" s="1389">
        <v>0</v>
      </c>
      <c r="I31" s="1389"/>
    </row>
    <row r="32" spans="2:9" s="187" customFormat="1" ht="15" customHeight="1">
      <c r="B32" s="184"/>
      <c r="C32" s="682" t="str">
        <f>IF(Indice_index!$Z$1=1,"Outras despesas correntes","Other current expenditure")</f>
        <v>Other current expenditure</v>
      </c>
      <c r="D32" s="1388">
        <v>0</v>
      </c>
      <c r="E32" s="1388">
        <v>0</v>
      </c>
      <c r="F32" s="1388"/>
      <c r="G32" s="1388">
        <v>0.17120433999999998</v>
      </c>
      <c r="H32" s="1388">
        <v>0</v>
      </c>
      <c r="I32" s="1388"/>
    </row>
    <row r="33" spans="2:17" s="187" customFormat="1" ht="15" customHeight="1">
      <c r="B33" s="184"/>
      <c r="C33" s="1386" t="str">
        <f>IF(Indice_index!$Z$1=1,"Despesa de capital","Capital expenditure")</f>
        <v>Capital expenditure</v>
      </c>
      <c r="D33" s="1390">
        <f>+D34+D35+D37</f>
        <v>0</v>
      </c>
      <c r="E33" s="1390">
        <f>+E34+E35+E37</f>
        <v>0</v>
      </c>
      <c r="F33" s="1390"/>
      <c r="G33" s="1390">
        <f>+G34+G35+G37</f>
        <v>4.42379883</v>
      </c>
      <c r="H33" s="1390">
        <f>+H34+H35+H37</f>
        <v>0</v>
      </c>
      <c r="I33" s="1390"/>
    </row>
    <row r="34" spans="2:17" s="187" customFormat="1" ht="15" customHeight="1">
      <c r="B34" s="184"/>
      <c r="C34" s="682" t="str">
        <f>IF(Indice_index!$Z$1=1,"Investimento","Investment")</f>
        <v>Investment</v>
      </c>
      <c r="D34" s="1388">
        <v>0</v>
      </c>
      <c r="E34" s="1388">
        <v>0</v>
      </c>
      <c r="F34" s="1388"/>
      <c r="G34" s="1388">
        <v>4.42379883</v>
      </c>
      <c r="H34" s="1388">
        <v>0</v>
      </c>
      <c r="I34" s="1388"/>
    </row>
    <row r="35" spans="2:17" s="187" customFormat="1" ht="15" customHeight="1">
      <c r="B35" s="184"/>
      <c r="C35" s="682" t="str">
        <f>IF(Indice_index!$Z$1=1,"Transferências de capital","Capital transfers")</f>
        <v>Capital transfers</v>
      </c>
      <c r="D35" s="1388">
        <v>0</v>
      </c>
      <c r="E35" s="1388">
        <v>0</v>
      </c>
      <c r="F35" s="1388"/>
      <c r="G35" s="1388">
        <v>0</v>
      </c>
      <c r="H35" s="1388">
        <v>0</v>
      </c>
      <c r="I35" s="1388"/>
    </row>
    <row r="36" spans="2:17" s="187" customFormat="1" ht="15" customHeight="1">
      <c r="B36" s="184"/>
      <c r="C36" s="683" t="str">
        <f>IF(Indice_index!$Z$1=1,"das quais: Administração Central","of which: Central Administration")</f>
        <v>of which: Central Administration</v>
      </c>
      <c r="D36" s="1389">
        <v>0</v>
      </c>
      <c r="E36" s="1389">
        <v>0</v>
      </c>
      <c r="F36" s="1389"/>
      <c r="G36" s="1389">
        <v>0</v>
      </c>
      <c r="H36" s="1389">
        <v>0</v>
      </c>
      <c r="I36" s="1389"/>
    </row>
    <row r="37" spans="2:17" s="187" customFormat="1" ht="15" customHeight="1">
      <c r="B37" s="184"/>
      <c r="C37" s="682" t="str">
        <f>IF(Indice_index!$Z$1=1,"Outras despesas de capital","Other capital expenditure")</f>
        <v>Other capital expenditure</v>
      </c>
      <c r="D37" s="1388">
        <v>0</v>
      </c>
      <c r="E37" s="1388">
        <v>0</v>
      </c>
      <c r="F37" s="1388"/>
      <c r="G37" s="1388">
        <v>0</v>
      </c>
      <c r="H37" s="1388">
        <v>0</v>
      </c>
      <c r="I37" s="1388"/>
    </row>
    <row r="38" spans="2:17" s="187" customFormat="1" ht="15" customHeight="1">
      <c r="B38" s="184"/>
      <c r="C38" s="1386" t="str">
        <f>IF(Indice_index!$Z$1=1,"Despesa efetiva","Effective expenditure")</f>
        <v>Effective expenditure</v>
      </c>
      <c r="D38" s="1390">
        <v>8.2699999999999996E-2</v>
      </c>
      <c r="E38" s="1390">
        <v>4.4999999999999997E-3</v>
      </c>
      <c r="F38" s="1390"/>
      <c r="G38" s="1390">
        <v>6.0940189800000004</v>
      </c>
      <c r="H38" s="1390">
        <v>5.9775711300000012</v>
      </c>
      <c r="I38" s="1390"/>
    </row>
    <row r="39" spans="2:17" s="187" customFormat="1" ht="4.5" customHeight="1">
      <c r="B39" s="184"/>
      <c r="C39" s="1391"/>
      <c r="D39" s="1390"/>
      <c r="E39" s="1390"/>
      <c r="F39" s="1390"/>
      <c r="G39" s="1390"/>
      <c r="H39" s="1390"/>
      <c r="I39" s="1390"/>
    </row>
    <row r="40" spans="2:17" s="187" customFormat="1" ht="15" customHeight="1">
      <c r="B40" s="184"/>
      <c r="C40" s="1392" t="str">
        <f>IF(Indice_index!$Z$1=1,"Saldo global","Overall balance")</f>
        <v>Overall balance</v>
      </c>
      <c r="D40" s="1393">
        <f>+D20-D38</f>
        <v>-8.2699999999999996E-2</v>
      </c>
      <c r="E40" s="1393">
        <f>+E20-E38</f>
        <v>5.0000000000000044E-4</v>
      </c>
      <c r="F40" s="1394"/>
      <c r="G40" s="1393">
        <f>+G20-G38</f>
        <v>-6.0940189800000004</v>
      </c>
      <c r="H40" s="1393">
        <f>+H20-H38</f>
        <v>-5.9775711300000012</v>
      </c>
      <c r="I40" s="1394"/>
    </row>
    <row r="41" spans="2:17" s="97" customFormat="1" ht="4.5" customHeight="1">
      <c r="D41" s="1395"/>
      <c r="E41" s="1395"/>
      <c r="F41" s="1395"/>
      <c r="G41" s="1395"/>
      <c r="H41" s="1395"/>
      <c r="I41" s="1395"/>
      <c r="O41" s="50"/>
      <c r="P41" s="50"/>
      <c r="Q41" s="50"/>
    </row>
    <row r="42" spans="2:17" s="187" customFormat="1">
      <c r="C42" s="1392" t="str">
        <f>IF(Indice_index!$Z$1=1,"Períodos com ausência de reporte","Months without report")</f>
        <v>Months without report</v>
      </c>
      <c r="D42" s="1396" t="str">
        <f>IF(Indice_index!$Z$1=1,"maio","May")</f>
        <v>May</v>
      </c>
      <c r="E42" s="1396" t="str">
        <f>IF(Indice_index!$Z$1=1,"maio; março; abril","May; March; April")</f>
        <v>May; March; April</v>
      </c>
      <c r="F42" s="1397"/>
      <c r="G42" s="1396" t="str">
        <f>IF(Indice_index!$Z$1=1,"maio","May")</f>
        <v>May</v>
      </c>
      <c r="H42" s="1396" t="str">
        <f>IF(Indice_index!$Z$1=1,"maio","May")</f>
        <v>May</v>
      </c>
      <c r="I42" s="1397"/>
    </row>
    <row r="43" spans="2:17" s="187" customFormat="1" ht="3" customHeight="1">
      <c r="C43" s="1381"/>
    </row>
    <row r="44" spans="2:17" s="187" customFormat="1" ht="4.5" customHeight="1">
      <c r="C44" s="1381"/>
    </row>
    <row r="45" spans="2:17" s="53" customFormat="1" ht="15" customHeight="1">
      <c r="C45" s="833" t="str">
        <f>IF(Indice_index!$Z$1=1,"Notas:","Notes:")</f>
        <v>Notes:</v>
      </c>
      <c r="D45" s="58"/>
      <c r="E45" s="1398"/>
      <c r="F45" s="1398"/>
      <c r="G45" s="247"/>
      <c r="H45" s="247"/>
      <c r="I45" s="1398"/>
      <c r="N45" s="50"/>
      <c r="O45" s="50"/>
      <c r="P45" s="50"/>
    </row>
    <row r="46" spans="2:17" s="187" customFormat="1" ht="39" customHeight="1">
      <c r="C46" s="1767" t="str">
        <f>IF(Indice_index!$Z$1=1,C95,C96)</f>
        <v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v>
      </c>
      <c r="D46" s="1767"/>
      <c r="E46" s="1767"/>
      <c r="F46" s="1767"/>
      <c r="G46" s="1767"/>
    </row>
    <row r="47" spans="2:17" s="187" customFormat="1" ht="25.5" customHeight="1">
      <c r="C47" s="1767" t="str">
        <f>+'10 - EPR'!C86:H86</f>
        <v>This estimate is used only in months in which there is a lack of report. In other months, the information considered is that effectively reported by the entities.</v>
      </c>
      <c r="D47" s="1767"/>
      <c r="E47" s="1767"/>
      <c r="F47" s="1767"/>
      <c r="G47" s="1767"/>
    </row>
    <row r="48" spans="2:17" s="187" customFormat="1" ht="30" customHeight="1">
      <c r="C48" s="1767" t="str">
        <f>IF(Indice_index!$Z$1=1,"a) Dados disponibilizados pelas entidades em causa de modo a suprir faltas de informação respeitantes à execução orçamental de maio de 2021 devido a motivos de ordem técnica na transposição dos sistemas orçamentais locais para os centrais.","a) Additional 2021 budget implementation data sent by the entities to complete missing information that, due to technical reasons, was not fully transposed from the local to the central budget information systems")</f>
        <v>a) Additional 2021 budget implementation data sent by the entities to complete missing information that, due to technical reasons, was not fully transposed from the local to the central budget information systems</v>
      </c>
      <c r="D48" s="1767"/>
      <c r="E48" s="1767"/>
      <c r="F48" s="1767"/>
      <c r="G48" s="1767"/>
    </row>
    <row r="49" spans="3:9" s="187" customFormat="1" ht="4.5" hidden="1" customHeight="1">
      <c r="C49" s="1767"/>
      <c r="D49" s="1767"/>
      <c r="E49" s="1767"/>
      <c r="F49" s="1399"/>
      <c r="G49" s="1189"/>
      <c r="H49" s="1189"/>
      <c r="I49" s="1399"/>
    </row>
    <row r="50" spans="3:9" s="187" customFormat="1" ht="15" customHeight="1">
      <c r="C50" s="1190" t="str">
        <f>IF(Indice_index!$Z$1=1,"Fonte: Direção-Geral do Orçamento","Source: Budget General Directorate")</f>
        <v>Source: Budget General Directorate</v>
      </c>
      <c r="D50" s="1190"/>
      <c r="E50" s="1190"/>
      <c r="F50" s="1190"/>
      <c r="I50" s="1190"/>
    </row>
    <row r="51" spans="3:9" s="187" customFormat="1"/>
    <row r="52" spans="3:9" s="187" customFormat="1"/>
    <row r="53" spans="3:9" s="514" customFormat="1"/>
    <row r="54" spans="3:9" s="432" customFormat="1">
      <c r="C54" s="476"/>
    </row>
    <row r="55" spans="3:9" s="432" customFormat="1">
      <c r="C55" s="476"/>
    </row>
    <row r="56" spans="3:9" s="514" customFormat="1">
      <c r="C56" s="476"/>
    </row>
    <row r="57" spans="3:9" s="187" customFormat="1">
      <c r="C57" s="432"/>
    </row>
    <row r="58" spans="3:9" s="187" customFormat="1"/>
    <row r="59" spans="3:9" s="187" customFormat="1"/>
    <row r="60" spans="3:9" s="187" customFormat="1"/>
    <row r="61" spans="3:9" s="187" customFormat="1"/>
    <row r="62" spans="3:9" s="187" customFormat="1"/>
    <row r="63" spans="3:9" s="187" customFormat="1"/>
    <row r="64" spans="3:9" s="187" customFormat="1"/>
    <row r="65" s="187" customFormat="1"/>
    <row r="66" s="187" customFormat="1"/>
    <row r="67" s="187" customFormat="1"/>
    <row r="68" s="187" customFormat="1"/>
    <row r="69" s="187" customFormat="1"/>
    <row r="70" s="187" customFormat="1"/>
    <row r="71" s="187" customFormat="1"/>
    <row r="72" s="187" customFormat="1" ht="12" customHeight="1"/>
    <row r="73" s="187" customFormat="1"/>
    <row r="74" s="187" customFormat="1"/>
    <row r="75" s="187" customFormat="1"/>
    <row r="76" s="187" customFormat="1"/>
    <row r="77" s="187" customFormat="1"/>
    <row r="78" s="187" customFormat="1"/>
    <row r="79" s="187" customFormat="1"/>
    <row r="80" s="187" customFormat="1"/>
    <row r="81" spans="3:3" s="187" customFormat="1"/>
    <row r="82" spans="3:3" s="187" customFormat="1"/>
    <row r="83" spans="3:3" s="187" customFormat="1"/>
    <row r="84" spans="3:3" s="187" customFormat="1"/>
    <row r="85" spans="3:3" s="187" customFormat="1"/>
    <row r="86" spans="3:3" s="187" customFormat="1"/>
    <row r="87" spans="3:3" s="187" customFormat="1"/>
    <row r="88" spans="3:3" s="187" customFormat="1"/>
    <row r="89" spans="3:3" s="187" customFormat="1"/>
    <row r="90" spans="3:3" s="187" customFormat="1"/>
    <row r="91" spans="3:3" s="187" customFormat="1"/>
    <row r="92" spans="3:3" s="187" customFormat="1"/>
    <row r="93" spans="3:3" s="187" customFormat="1"/>
    <row r="94" spans="3:3" s="187" customFormat="1"/>
    <row r="95" spans="3:3" s="187" customFormat="1">
      <c r="C95" s="432" t="s">
        <v>79</v>
      </c>
    </row>
    <row r="96" spans="3:3" s="187" customFormat="1">
      <c r="C96" s="432" t="s">
        <v>80</v>
      </c>
    </row>
    <row r="97" s="187" customFormat="1"/>
    <row r="98" s="187" customFormat="1"/>
    <row r="99" s="187" customFormat="1"/>
    <row r="100" s="187" customFormat="1"/>
    <row r="101" s="187" customFormat="1"/>
    <row r="102" s="187" customFormat="1"/>
    <row r="103" s="187" customFormat="1"/>
    <row r="104" s="187" customFormat="1"/>
    <row r="105" s="187" customFormat="1"/>
    <row r="106" s="187" customFormat="1"/>
    <row r="107" s="187" customFormat="1"/>
    <row r="108" s="187" customFormat="1"/>
    <row r="109" s="187" customFormat="1"/>
    <row r="110" s="187" customFormat="1"/>
    <row r="111" s="187" customFormat="1"/>
    <row r="112" s="187" customFormat="1"/>
    <row r="113" s="187" customFormat="1"/>
    <row r="114" s="187" customFormat="1"/>
    <row r="115" s="187" customFormat="1"/>
    <row r="116" s="187" customFormat="1"/>
    <row r="117" s="187" customFormat="1"/>
    <row r="118" s="187" customFormat="1"/>
    <row r="119" s="187" customFormat="1"/>
    <row r="120" s="187" customFormat="1"/>
    <row r="121" s="187" customFormat="1"/>
    <row r="122" s="187" customFormat="1"/>
    <row r="123" s="187" customFormat="1"/>
    <row r="124" s="187" customFormat="1"/>
    <row r="125" s="187" customFormat="1"/>
    <row r="126" s="187" customFormat="1"/>
    <row r="127" s="187" customFormat="1"/>
    <row r="128"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187" customFormat="1"/>
    <row r="146" s="187" customFormat="1"/>
    <row r="147" s="187" customFormat="1"/>
    <row r="148" s="187" customFormat="1"/>
    <row r="149" s="187" customFormat="1"/>
    <row r="150" s="187" customFormat="1"/>
    <row r="151" s="187" customFormat="1"/>
    <row r="152" s="187" customFormat="1"/>
    <row r="153" s="187" customFormat="1"/>
    <row r="154" s="187" customFormat="1"/>
    <row r="155" s="187" customFormat="1"/>
    <row r="156" s="187" customFormat="1"/>
    <row r="157" s="187" customFormat="1"/>
    <row r="158" s="187" customFormat="1"/>
    <row r="159" s="187" customFormat="1"/>
    <row r="160" s="187" customFormat="1"/>
    <row r="161" s="187" customFormat="1"/>
    <row r="162" s="187" customFormat="1"/>
    <row r="163" s="187" customFormat="1"/>
    <row r="164" s="187" customFormat="1"/>
    <row r="165" s="187" customFormat="1"/>
    <row r="166" s="187" customFormat="1"/>
    <row r="167" s="187" customFormat="1"/>
    <row r="168" s="187" customFormat="1"/>
    <row r="169" s="187" customFormat="1"/>
    <row r="170" s="187" customFormat="1"/>
    <row r="171" s="187" customFormat="1"/>
    <row r="172" s="187" customFormat="1"/>
    <row r="173" s="187" customFormat="1"/>
    <row r="174" s="187" customFormat="1"/>
    <row r="175" s="187" customFormat="1"/>
    <row r="176" s="187" customFormat="1"/>
    <row r="177" s="187" customFormat="1"/>
    <row r="178" s="187" customFormat="1"/>
    <row r="179" s="187" customFormat="1"/>
    <row r="180" s="187" customFormat="1"/>
    <row r="181" s="187" customFormat="1"/>
    <row r="182" s="187" customFormat="1"/>
    <row r="183" s="187" customFormat="1"/>
    <row r="184" s="187" customFormat="1"/>
    <row r="185" s="187" customFormat="1"/>
    <row r="186" s="187" customFormat="1"/>
    <row r="187" s="187" customFormat="1"/>
    <row r="188" s="187" customFormat="1"/>
    <row r="189" s="187" customFormat="1"/>
    <row r="190" s="187" customFormat="1"/>
    <row r="191" s="187" customFormat="1"/>
    <row r="192" s="187" customFormat="1"/>
    <row r="193" s="187" customFormat="1"/>
    <row r="194" s="187" customFormat="1"/>
    <row r="195" s="187" customFormat="1"/>
    <row r="196" s="187" customFormat="1"/>
    <row r="197" s="187" customFormat="1"/>
    <row r="198" s="187" customFormat="1"/>
    <row r="199" s="187" customFormat="1"/>
    <row r="200" s="187" customFormat="1"/>
    <row r="201" s="187" customFormat="1"/>
    <row r="202" s="187" customFormat="1"/>
    <row r="203" s="187" customFormat="1"/>
    <row r="204" s="187" customFormat="1"/>
    <row r="205" s="187" customFormat="1"/>
    <row r="206" s="187" customFormat="1"/>
    <row r="207" s="187" customFormat="1"/>
    <row r="208" s="187" customFormat="1"/>
    <row r="209" s="187" customFormat="1"/>
    <row r="210" s="187" customFormat="1"/>
    <row r="211" s="187" customFormat="1"/>
    <row r="212" s="187" customFormat="1"/>
    <row r="213" s="187" customFormat="1"/>
    <row r="214" s="187" customFormat="1"/>
    <row r="215" s="187" customFormat="1"/>
    <row r="216" s="187" customFormat="1"/>
    <row r="217" s="187" customFormat="1"/>
    <row r="218" s="187" customFormat="1"/>
    <row r="219" s="187" customFormat="1"/>
    <row r="220" s="187" customFormat="1"/>
    <row r="221" s="187" customFormat="1"/>
    <row r="222" s="187" customFormat="1"/>
    <row r="223" s="187" customFormat="1"/>
    <row r="224" s="187" customFormat="1"/>
    <row r="225" s="187" customFormat="1"/>
    <row r="226" s="187" customFormat="1"/>
    <row r="227" s="187" customFormat="1"/>
  </sheetData>
  <mergeCells count="4">
    <mergeCell ref="C49:E49"/>
    <mergeCell ref="C46:G46"/>
    <mergeCell ref="C47:G47"/>
    <mergeCell ref="C48:G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dimension ref="B1:M233"/>
  <sheetViews>
    <sheetView showGridLines="0" zoomScaleNormal="100" zoomScaleSheetLayoutView="100" workbookViewId="0">
      <selection activeCell="B2" sqref="B2"/>
    </sheetView>
  </sheetViews>
  <sheetFormatPr defaultColWidth="9.140625" defaultRowHeight="15"/>
  <cols>
    <col min="1" max="1" width="2.42578125" style="185" customWidth="1"/>
    <col min="2" max="2" width="3.5703125" style="185" customWidth="1"/>
    <col min="3" max="3" width="9.85546875" style="185" customWidth="1"/>
    <col min="4" max="4" width="33.140625" style="185" customWidth="1"/>
    <col min="5" max="5" width="80" style="185" customWidth="1"/>
    <col min="6" max="6" width="12.5703125" style="185" customWidth="1"/>
    <col min="7" max="7" width="13.42578125" style="454" customWidth="1"/>
    <col min="8" max="8" width="11.5703125" style="185" customWidth="1"/>
    <col min="9" max="9" width="13.42578125" bestFit="1" customWidth="1"/>
    <col min="10" max="10" width="10.42578125" bestFit="1" customWidth="1"/>
    <col min="12" max="16384" width="9.140625" style="185"/>
  </cols>
  <sheetData>
    <row r="1" spans="2:13" s="50" customFormat="1" ht="15" customHeight="1">
      <c r="B1" s="49"/>
      <c r="G1" s="453"/>
      <c r="I1"/>
      <c r="J1"/>
      <c r="K1"/>
      <c r="L1"/>
    </row>
    <row r="2" spans="2:13" ht="24" customHeight="1">
      <c r="B2" s="8"/>
      <c r="C2" s="51" t="str">
        <f>IF(Indice_index!$Z$1=1,"22 - Utilização condicionada das dotações orçamentais do OT 2022","22 - Frozen allocations from the 2022 Transitional Budget")</f>
        <v>22 - Frozen allocations from the 2022 Transitional Budget</v>
      </c>
      <c r="D2" s="51"/>
      <c r="E2" s="51"/>
      <c r="F2" s="51"/>
      <c r="G2" s="51"/>
      <c r="L2"/>
    </row>
    <row r="3" spans="2:13" s="187" customFormat="1" ht="30" customHeight="1">
      <c r="B3" s="184"/>
      <c r="C3" s="186"/>
      <c r="D3" s="186"/>
      <c r="G3" s="455"/>
      <c r="I3"/>
      <c r="J3"/>
      <c r="K3"/>
      <c r="L3"/>
    </row>
    <row r="4" spans="2:13" s="187" customFormat="1" ht="15" customHeight="1">
      <c r="B4" s="184"/>
      <c r="C4" s="729" t="str">
        <f>IF(Indice_index!$Z$1=1,"Período: abril","Period: April")</f>
        <v>Period: April</v>
      </c>
      <c r="D4" s="730"/>
      <c r="E4" s="731"/>
      <c r="F4" s="732"/>
      <c r="G4" s="732" t="str">
        <f>IF(Indice_index!$Z$1=1,"€ Milhões","€ Millions")</f>
        <v>€ Millions</v>
      </c>
      <c r="I4"/>
      <c r="J4"/>
      <c r="K4"/>
      <c r="L4"/>
    </row>
    <row r="5" spans="2:13" s="187" customFormat="1">
      <c r="C5" s="1770" t="str">
        <f>IF(Indice_index!$Z$1=1,"Ministério","Ministry")</f>
        <v>Ministry</v>
      </c>
      <c r="D5" s="1770" t="str">
        <f>IF(Indice_index!$Z$1=1,"Programa Orçamental","Budgetary program")</f>
        <v>Budgetary program</v>
      </c>
      <c r="E5" s="1770" t="str">
        <f>IF(Indice_index!$Z$1=1,"Medida","Measure")</f>
        <v>Measure</v>
      </c>
      <c r="F5" s="1774">
        <v>2022</v>
      </c>
      <c r="G5" s="1774"/>
      <c r="I5"/>
      <c r="J5"/>
      <c r="K5"/>
      <c r="L5"/>
    </row>
    <row r="6" spans="2:13" s="187" customFormat="1" ht="30" customHeight="1">
      <c r="C6" s="1771"/>
      <c r="D6" s="1771"/>
      <c r="E6" s="1771"/>
      <c r="F6" s="733" t="str">
        <f>IF(Indice_index!$Z$1=1,"Cativos iniciais","Initial frozen allocations")</f>
        <v>Initial frozen allocations</v>
      </c>
      <c r="G6" s="734" t="str">
        <f>IF(Indice_index!$Z$1=1,"Cativos atuais","Current frozen allocations")</f>
        <v>Current frozen allocations</v>
      </c>
      <c r="I6"/>
      <c r="J6"/>
      <c r="K6"/>
      <c r="L6"/>
    </row>
    <row r="7" spans="2:13" s="187" customFormat="1">
      <c r="C7" s="1772"/>
      <c r="D7" s="1772"/>
      <c r="E7" s="1772"/>
      <c r="F7" s="735" t="s">
        <v>66</v>
      </c>
      <c r="G7" s="736" t="s">
        <v>65</v>
      </c>
      <c r="I7"/>
      <c r="J7"/>
      <c r="K7"/>
      <c r="L7"/>
    </row>
    <row r="8" spans="2:13" s="187" customFormat="1" ht="15" customHeight="1">
      <c r="C8" s="737" t="str">
        <f>IF(Indice_index!$Z$1=1,"EGE","GCS")</f>
        <v>GCS</v>
      </c>
      <c r="D8" s="737" t="str">
        <f>IF(Indice_index!$Z$1=1,"P001 - Órgãos de Soberania","P001 - Sovereignty Entities")</f>
        <v>P001 - Sovereignty Entities</v>
      </c>
      <c r="E8" s="738" t="str">
        <f>IF(Indice_index!$Z$1=1,"001 - Serv. Gerais da A.P. - Administração geral","001 - General public services - General Administration")</f>
        <v>001 - General public services - General Administration</v>
      </c>
      <c r="F8" s="739">
        <v>9.4291450000000001</v>
      </c>
      <c r="G8" s="739">
        <v>0.70466399999999996</v>
      </c>
      <c r="H8" s="590"/>
      <c r="I8"/>
      <c r="J8"/>
      <c r="K8"/>
      <c r="L8" s="447"/>
      <c r="M8" s="447"/>
    </row>
    <row r="9" spans="2:13" s="187" customFormat="1" ht="15" customHeight="1">
      <c r="C9" s="737"/>
      <c r="D9" s="737"/>
      <c r="E9" s="738" t="str">
        <f>IF(Indice_index!$Z$1=1,"012 - Segurança e ordem públicas - Sistema judiciário","012 - Public safety and order - Judicial system")</f>
        <v>012 - Public safety and order - Judicial system</v>
      </c>
      <c r="F9" s="740">
        <v>1.926823</v>
      </c>
      <c r="G9" s="740">
        <v>1.927379</v>
      </c>
      <c r="H9" s="590"/>
      <c r="I9"/>
      <c r="J9"/>
      <c r="K9"/>
      <c r="L9" s="447"/>
      <c r="M9" s="447"/>
    </row>
    <row r="10" spans="2:13" s="187" customFormat="1" ht="15" customHeight="1">
      <c r="C10" s="737"/>
      <c r="D10" s="741"/>
      <c r="E10" s="738" t="str">
        <f>IF(Indice_index!$Z$1=1,"038 - Serviços culturais, recreativos e religiosos - Comunicação social","038 - Cultural, recreational and religious services - Media")</f>
        <v>038 - Cultural, recreational and religious services - Media</v>
      </c>
      <c r="F10" s="740">
        <v>0.306201</v>
      </c>
      <c r="G10" s="740">
        <v>0</v>
      </c>
      <c r="H10" s="590"/>
      <c r="I10"/>
      <c r="J10"/>
      <c r="K10"/>
      <c r="L10" s="447"/>
      <c r="M10" s="447"/>
    </row>
    <row r="11" spans="2:13" s="187" customFormat="1" ht="15" customHeight="1">
      <c r="C11" s="737"/>
      <c r="D11" s="737"/>
      <c r="E11" s="738" t="str">
        <f>IF(Indice_index!$Z$1=1,"095 - Contingência Covid 2019 - Prevenção, contenção, mitigação e tratamento","095 - Covid 2019 Contingency - Prevention, Containment, Mitigation and Treatment")</f>
        <v>095 - Covid 2019 Contingency - Prevention, Containment, Mitigation and Treatment</v>
      </c>
      <c r="F11" s="740">
        <v>1.4388E-2</v>
      </c>
      <c r="G11" s="740">
        <v>3.869E-3</v>
      </c>
      <c r="H11" s="590"/>
      <c r="I11"/>
      <c r="J11"/>
      <c r="K11"/>
      <c r="L11" s="447"/>
      <c r="M11" s="447"/>
    </row>
    <row r="12" spans="2:13" s="187" customFormat="1" ht="15" customHeight="1">
      <c r="C12" s="737"/>
      <c r="D12" s="741"/>
      <c r="E12" s="738" t="str">
        <f>IF(Indice_index!$Z$1=1,"096 - Contingência Covid 2019 - Garantir Normalidade","096 - Covid Contingency 2019 - Ensure Normality")</f>
        <v>096 - Covid Contingency 2019 - Ensure Normality</v>
      </c>
      <c r="F12" s="740">
        <v>7.4999999999999993E-5</v>
      </c>
      <c r="G12" s="740">
        <v>0</v>
      </c>
      <c r="H12" s="590"/>
      <c r="I12"/>
      <c r="J12"/>
      <c r="K12"/>
      <c r="L12" s="447"/>
      <c r="M12" s="447"/>
    </row>
    <row r="13" spans="2:13" s="187" customFormat="1" ht="15" customHeight="1">
      <c r="C13" s="741"/>
      <c r="D13" s="742"/>
      <c r="E13" s="743" t="str">
        <f>D8</f>
        <v>P001 - Sovereignty Entities</v>
      </c>
      <c r="F13" s="744">
        <f>SUM(F8:F12)</f>
        <v>11.676632000000001</v>
      </c>
      <c r="G13" s="744">
        <f>SUM(G8:G12)</f>
        <v>2.6359119999999998</v>
      </c>
      <c r="H13" s="590"/>
      <c r="I13"/>
      <c r="J13"/>
      <c r="K13"/>
      <c r="L13" s="447"/>
      <c r="M13" s="447"/>
    </row>
    <row r="14" spans="2:13" s="187" customFormat="1" ht="15" customHeight="1">
      <c r="C14" s="737" t="str">
        <f>IF(Indice_index!$Z$1=1,"PCM","PRP")</f>
        <v>PRP</v>
      </c>
      <c r="D14" s="737" t="str">
        <f>IF(Indice_index!$Z$1=1,"P002 - Governação","P002 - Government")</f>
        <v>P002 - Government</v>
      </c>
      <c r="E14" s="738" t="str">
        <f>IF(Indice_index!$Z$1=1,"001 - Serv. Gerais da A.P. - Administração geral","001 - General public services - General Administration")</f>
        <v>001 - General public services - General Administration</v>
      </c>
      <c r="F14" s="739">
        <v>11.572729000000001</v>
      </c>
      <c r="G14" s="739">
        <v>3.7760449999999999</v>
      </c>
      <c r="H14" s="590"/>
      <c r="I14"/>
      <c r="J14"/>
      <c r="K14"/>
      <c r="L14" s="447"/>
      <c r="M14" s="447"/>
    </row>
    <row r="15" spans="2:13" s="187" customFormat="1" ht="15" customHeight="1">
      <c r="C15" s="737"/>
      <c r="D15" s="737"/>
      <c r="E15" s="738" t="str">
        <f>IF(Indice_index!$Z$1=1,"011 - Segurança e ordem públicas - Forças de segurança","011 - Public safety and order - Security forces")</f>
        <v>011 - Public safety and order - Security forces</v>
      </c>
      <c r="F15" s="740">
        <v>1.0662199999999999</v>
      </c>
      <c r="G15" s="740">
        <v>1.0662199999999999</v>
      </c>
      <c r="H15" s="590"/>
      <c r="I15"/>
      <c r="J15"/>
      <c r="K15"/>
      <c r="L15" s="447"/>
      <c r="M15" s="447"/>
    </row>
    <row r="16" spans="2:13" s="187" customFormat="1" ht="15" customHeight="1">
      <c r="C16" s="737"/>
      <c r="D16" s="737"/>
      <c r="E16" s="738" t="str">
        <f>IF(Indice_index!$Z$1=1,"014 - Segurança e ordem públicas - Protecção civil e luta contra incêndios","014 - Public safety and order - Civil Protection and  fire fighting")</f>
        <v>014 - Public safety and order - Civil Protection and  fire fighting</v>
      </c>
      <c r="F16" s="740">
        <v>1.5889470000000001</v>
      </c>
      <c r="G16" s="740">
        <v>1.5889470000000001</v>
      </c>
      <c r="H16" s="590"/>
      <c r="I16"/>
      <c r="J16"/>
      <c r="K16"/>
      <c r="L16" s="447"/>
      <c r="M16" s="447"/>
    </row>
    <row r="17" spans="3:13" s="187" customFormat="1" ht="15" customHeight="1">
      <c r="C17" s="737"/>
      <c r="D17" s="737"/>
      <c r="E17" s="738" t="str">
        <f>IF(Indice_index!$Z$1=1,"024 - Segurança e acção social - Administração e regulamentação","024 - Social Security and Action - Administration and regulations")</f>
        <v>024 - Social Security and Action - Administration and regulations</v>
      </c>
      <c r="F17" s="740">
        <v>4.5888999999999999E-2</v>
      </c>
      <c r="G17" s="740">
        <v>4.5888999999999999E-2</v>
      </c>
      <c r="H17" s="590"/>
      <c r="I17"/>
      <c r="J17"/>
      <c r="K17"/>
      <c r="L17" s="447"/>
      <c r="M17" s="447"/>
    </row>
    <row r="18" spans="3:13" s="187" customFormat="1" ht="15" customHeight="1">
      <c r="C18" s="737"/>
      <c r="D18" s="737"/>
      <c r="E18" s="738"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8" s="740">
        <v>5.1249999999999997E-2</v>
      </c>
      <c r="G18" s="740">
        <v>0</v>
      </c>
      <c r="H18" s="590"/>
      <c r="I18"/>
      <c r="J18"/>
      <c r="K18"/>
      <c r="L18" s="447"/>
      <c r="M18" s="447"/>
    </row>
    <row r="19" spans="3:13" s="187" customFormat="1" ht="15" customHeight="1">
      <c r="C19" s="737"/>
      <c r="D19" s="737"/>
      <c r="E19" s="738" t="str">
        <f>IF(Indice_index!$Z$1=1,"095 - Contingência Covid 2019 - Prevenção, contenção, mitigação e tratamento","095 - Covid 2019 Contingency - Prevention, Containment, Mitigation and Treatment")</f>
        <v>095 - Covid 2019 Contingency - Prevention, Containment, Mitigation and Treatment</v>
      </c>
      <c r="F19" s="740">
        <v>6.417E-3</v>
      </c>
      <c r="G19" s="740">
        <v>6.417E-3</v>
      </c>
      <c r="H19" s="590"/>
      <c r="I19"/>
      <c r="J19"/>
      <c r="K19"/>
      <c r="L19" s="447"/>
      <c r="M19" s="447"/>
    </row>
    <row r="20" spans="3:13" s="187" customFormat="1" ht="15" customHeight="1">
      <c r="C20" s="737"/>
      <c r="D20" s="737"/>
      <c r="E20" s="738" t="str">
        <f>IF(Indice_index!$Z$1=1,"096 - Contingência Covid 2019 - Garantir Normalidade","096 - Covid Contingency 2019 - Ensure Normality")</f>
        <v>096 - Covid Contingency 2019 - Ensure Normality</v>
      </c>
      <c r="F20" s="740">
        <v>7.2791999999999996E-2</v>
      </c>
      <c r="G20" s="740">
        <v>7.2791999999999996E-2</v>
      </c>
      <c r="H20" s="590"/>
      <c r="I20"/>
      <c r="J20"/>
      <c r="K20"/>
      <c r="L20" s="447"/>
      <c r="M20" s="447"/>
    </row>
    <row r="21" spans="3:13" s="187" customFormat="1" ht="15" customHeight="1">
      <c r="C21" s="741"/>
      <c r="D21" s="742"/>
      <c r="E21" s="745" t="str">
        <f>C14</f>
        <v>PRP</v>
      </c>
      <c r="F21" s="744">
        <f>SUM(F14:F20)</f>
        <v>14.404244000000002</v>
      </c>
      <c r="G21" s="744">
        <f>SUM(G14:G20)</f>
        <v>6.556309999999999</v>
      </c>
      <c r="H21" s="590"/>
      <c r="I21"/>
      <c r="J21"/>
      <c r="K21"/>
      <c r="L21" s="447"/>
      <c r="M21" s="447"/>
    </row>
    <row r="22" spans="3:13" s="187" customFormat="1" ht="15" customHeight="1">
      <c r="C22" s="741" t="str">
        <f>IF(Indice_index!$Z$1=1,"MEAP","SPAM")</f>
        <v>SPAM</v>
      </c>
      <c r="D22" s="737" t="str">
        <f>IF(Indice_index!$Z$1=1,"P002 - Governação","P002 - Government")</f>
        <v>P002 - Government</v>
      </c>
      <c r="E22" s="738" t="str">
        <f>IF(Indice_index!$Z$1=1,"001 - Serv. Gerais da A.P. - Administração geral","001 - General public services - General Administration")</f>
        <v>001 - General public services - General Administration</v>
      </c>
      <c r="F22" s="739">
        <v>5.1042180000000004</v>
      </c>
      <c r="G22" s="739">
        <v>5.139068</v>
      </c>
      <c r="H22" s="590"/>
      <c r="I22"/>
      <c r="J22"/>
      <c r="K22"/>
      <c r="L22" s="447"/>
      <c r="M22" s="447"/>
    </row>
    <row r="23" spans="3:13" s="187" customFormat="1" ht="15" customHeight="1">
      <c r="C23" s="741"/>
      <c r="D23" s="737"/>
      <c r="E23" s="738" t="str">
        <f>IF(Indice_index!$Z$1=1,"027 - Segurança e acção social - Acção social","027 - Social Security and Action - Social Action")</f>
        <v>027 - Social Security and Action - Social Action</v>
      </c>
      <c r="F23" s="740">
        <v>1.3423860000000001</v>
      </c>
      <c r="G23" s="740">
        <v>1.3423860000000001</v>
      </c>
      <c r="H23" s="590"/>
      <c r="I23"/>
      <c r="J23"/>
      <c r="K23"/>
      <c r="L23" s="447"/>
      <c r="M23" s="447"/>
    </row>
    <row r="24" spans="3:13" s="187" customFormat="1" ht="15" customHeight="1">
      <c r="C24" s="741"/>
      <c r="D24" s="737"/>
      <c r="E24" s="746" t="str">
        <f>IF(Indice_index!$Z$1=1,"028 - Habitação e serv. Colectivos - Administração e regulamentação","028 - Housing and Common services - Administration and regulations")</f>
        <v>028 - Housing and Common services - Administration and regulations</v>
      </c>
      <c r="F24" s="740">
        <v>0.51890899999999995</v>
      </c>
      <c r="G24" s="740">
        <v>0.51890899999999995</v>
      </c>
      <c r="H24" s="590"/>
      <c r="I24"/>
      <c r="J24"/>
      <c r="K24"/>
      <c r="L24" s="447"/>
      <c r="M24" s="447"/>
    </row>
    <row r="25" spans="3:13" s="187" customFormat="1" ht="15" customHeight="1">
      <c r="C25" s="741"/>
      <c r="D25" s="737"/>
      <c r="E25" s="746" t="str">
        <f>IF(Indice_index!$Z$1=1,"031 - Habitação e serv. Colectivos - Ordenamento do território","031 - Housing and Common services - Land-use")</f>
        <v>031 - Housing and Common services - Land-use</v>
      </c>
      <c r="F25" s="740">
        <v>0.24</v>
      </c>
      <c r="G25" s="740">
        <v>0.24</v>
      </c>
      <c r="H25" s="590"/>
      <c r="I25"/>
      <c r="J25"/>
      <c r="K25"/>
      <c r="L25" s="447"/>
      <c r="M25" s="447"/>
    </row>
    <row r="26" spans="3:13" s="187" customFormat="1" ht="15" customHeight="1">
      <c r="C26" s="741"/>
      <c r="D26" s="737"/>
      <c r="E26" s="746" t="str">
        <f>IF(Indice_index!$Z$1=1,"095 - Contingência Covid 2019 - Prevenção, contenção, mitigação e tratamento","095 - Covid 2019 Contingency - Prevention, Containment, Mitigation and Treatment")</f>
        <v>095 - Covid 2019 Contingency - Prevention, Containment, Mitigation and Treatment</v>
      </c>
      <c r="F26" s="740">
        <v>7.1365999999999999E-2</v>
      </c>
      <c r="G26" s="740">
        <v>7.1365999999999999E-2</v>
      </c>
      <c r="H26" s="590"/>
      <c r="I26"/>
      <c r="J26"/>
      <c r="K26"/>
      <c r="L26" s="447"/>
      <c r="M26" s="447"/>
    </row>
    <row r="27" spans="3:13" s="187" customFormat="1" ht="15" customHeight="1">
      <c r="C27" s="741"/>
      <c r="D27" s="737"/>
      <c r="E27" s="746" t="str">
        <f>IF(Indice_index!$Z$1=1,"096 - Contingência Covid 2019 - Garantir Normalidade","096 - Covid Contingency 2019 - Ensure Normality")</f>
        <v>096 - Covid Contingency 2019 - Ensure Normality</v>
      </c>
      <c r="F27" s="740">
        <v>5.5891999999999997E-2</v>
      </c>
      <c r="G27" s="740">
        <v>5.5891999999999997E-2</v>
      </c>
      <c r="H27" s="590"/>
      <c r="I27"/>
      <c r="J27"/>
      <c r="K27"/>
      <c r="L27" s="447"/>
      <c r="M27" s="447"/>
    </row>
    <row r="28" spans="3:13" s="187" customFormat="1" ht="15" customHeight="1">
      <c r="C28" s="741"/>
      <c r="D28" s="742"/>
      <c r="E28" s="745" t="str">
        <f>C22</f>
        <v>SPAM</v>
      </c>
      <c r="F28" s="744">
        <f>SUM(F22:F27)</f>
        <v>7.332771000000001</v>
      </c>
      <c r="G28" s="744">
        <f>SUM(G22:G27)</f>
        <v>7.3676210000000006</v>
      </c>
      <c r="H28" s="590"/>
      <c r="I28"/>
      <c r="J28"/>
      <c r="K28"/>
      <c r="L28" s="447"/>
      <c r="M28" s="447"/>
    </row>
    <row r="29" spans="3:13" s="187" customFormat="1" ht="15" customHeight="1">
      <c r="C29" s="741" t="str">
        <f>IF(Indice_index!$Z$1=1,"MP","MP")</f>
        <v>MP</v>
      </c>
      <c r="D29" s="737" t="str">
        <f>IF(Indice_index!$Z$1=1,"P002 - Governação","P002 - Government")</f>
        <v>P002 - Government</v>
      </c>
      <c r="E29" s="738" t="str">
        <f>IF(Indice_index!$Z$1=1,"001 - Serv. Gerais da A.P. - Administração geral","001 - General public services - General Administration")</f>
        <v>001 - General public services - General Administration</v>
      </c>
      <c r="F29" s="740">
        <v>3.8086000000000002E-2</v>
      </c>
      <c r="G29" s="740">
        <v>3.8086000000000002E-2</v>
      </c>
      <c r="H29" s="590"/>
      <c r="I29"/>
      <c r="J29"/>
      <c r="K29"/>
      <c r="L29" s="447"/>
      <c r="M29" s="447"/>
    </row>
    <row r="30" spans="3:13" s="187" customFormat="1" ht="15" customHeight="1">
      <c r="C30" s="741"/>
      <c r="D30" s="742"/>
      <c r="E30" s="745" t="str">
        <f>C29</f>
        <v>MP</v>
      </c>
      <c r="F30" s="744">
        <f>SUM(F29:F29)</f>
        <v>3.8086000000000002E-2</v>
      </c>
      <c r="G30" s="744">
        <f>SUM(G29:G29)</f>
        <v>3.8086000000000002E-2</v>
      </c>
      <c r="H30" s="590"/>
      <c r="I30"/>
      <c r="J30"/>
      <c r="K30"/>
      <c r="L30" s="447"/>
      <c r="M30" s="447"/>
    </row>
    <row r="31" spans="3:13" s="187" customFormat="1" ht="15" customHeight="1">
      <c r="C31" s="741" t="str">
        <f>IF(Indice_index!$Z$1=1,"MCT","MTC")</f>
        <v>MTC</v>
      </c>
      <c r="D31" s="737" t="str">
        <f>IF(Indice_index!$Z$1=1,"P002 - Governação","P002 - Government")</f>
        <v>P002 - Government</v>
      </c>
      <c r="E31" s="738" t="str">
        <f>IF(Indice_index!$Z$1=1,"001 - Serv. Gerais da A.P. - Administração geral","001 - General public services - General Administration")</f>
        <v>001 - General public services - General Administration</v>
      </c>
      <c r="F31" s="740">
        <v>0.56905600000000001</v>
      </c>
      <c r="G31" s="740">
        <v>0.14754100000000001</v>
      </c>
      <c r="H31" s="590"/>
      <c r="I31"/>
      <c r="J31"/>
      <c r="K31"/>
      <c r="L31" s="447"/>
      <c r="M31" s="447"/>
    </row>
    <row r="32" spans="3:13" s="187" customFormat="1" ht="15" customHeight="1">
      <c r="C32" s="741"/>
      <c r="D32" s="737"/>
      <c r="E32" s="746" t="str">
        <f>IF(Indice_index!$Z$1=1,"028 - Habitação e serv. Colectivos - Administração e regulamentação","028 - Housing and Common services - Administration and regulations")</f>
        <v>028 - Housing and Common services - Administration and regulations</v>
      </c>
      <c r="F32" s="740">
        <v>1.209579</v>
      </c>
      <c r="G32" s="740">
        <v>0</v>
      </c>
      <c r="H32" s="590"/>
      <c r="I32"/>
      <c r="J32"/>
      <c r="K32"/>
      <c r="L32" s="447"/>
      <c r="M32" s="447"/>
    </row>
    <row r="33" spans="3:13" s="187" customFormat="1" ht="15" customHeight="1">
      <c r="C33" s="741"/>
      <c r="D33" s="737"/>
      <c r="E33" s="746"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33" s="740">
        <v>2.1188210000000001</v>
      </c>
      <c r="G33" s="740">
        <v>0</v>
      </c>
      <c r="H33" s="590"/>
      <c r="I33"/>
      <c r="J33"/>
      <c r="K33"/>
      <c r="L33" s="447"/>
      <c r="M33" s="447"/>
    </row>
    <row r="34" spans="3:13" s="187" customFormat="1" ht="15" customHeight="1">
      <c r="C34" s="741"/>
      <c r="D34" s="737"/>
      <c r="E34" s="746" t="str">
        <f>IF(Indice_index!$Z$1=1,"095 - Contingência Covid 2019 - Prevenção, contenção, mitigação e tratamento","095 - Covid 2019 Contingency - Prevention, Containment, Mitigation and Treatment")</f>
        <v>095 - Covid 2019 Contingency - Prevention, Containment, Mitigation and Treatment</v>
      </c>
      <c r="F34" s="740">
        <v>1.9310000000000001E-2</v>
      </c>
      <c r="G34" s="740">
        <v>0</v>
      </c>
      <c r="H34" s="590"/>
      <c r="I34"/>
      <c r="J34"/>
      <c r="K34"/>
      <c r="L34" s="447"/>
      <c r="M34" s="447"/>
    </row>
    <row r="35" spans="3:13" s="187" customFormat="1" ht="15" customHeight="1">
      <c r="C35" s="741"/>
      <c r="D35" s="737"/>
      <c r="E35" s="746" t="str">
        <f>IF(Indice_index!$Z$1=1,"096 - Contingência Covid 2019 - Garantir Normalidade","096 - Covid Contingency 2019 - Ensure Normality")</f>
        <v>096 - Covid Contingency 2019 - Ensure Normality</v>
      </c>
      <c r="F35" s="740">
        <v>2.1210000000000001E-3</v>
      </c>
      <c r="G35" s="740">
        <v>0</v>
      </c>
      <c r="H35" s="590"/>
      <c r="I35"/>
      <c r="J35"/>
      <c r="K35"/>
      <c r="L35" s="447"/>
      <c r="M35" s="447"/>
    </row>
    <row r="36" spans="3:13" s="187" customFormat="1" ht="15" customHeight="1">
      <c r="C36" s="741"/>
      <c r="D36" s="747"/>
      <c r="E36" s="745" t="str">
        <f>C31</f>
        <v>MTC</v>
      </c>
      <c r="F36" s="744">
        <f>SUM(F31:F35)</f>
        <v>3.9188869999999998</v>
      </c>
      <c r="G36" s="744">
        <f>SUM(G31:G35)</f>
        <v>0.14754100000000001</v>
      </c>
      <c r="H36" s="590"/>
      <c r="I36"/>
      <c r="J36"/>
      <c r="K36"/>
      <c r="L36" s="447"/>
      <c r="M36" s="447"/>
    </row>
    <row r="37" spans="3:13" s="187" customFormat="1" ht="15" customHeight="1">
      <c r="C37" s="741"/>
      <c r="D37" s="742"/>
      <c r="E37" s="748" t="str">
        <f>D31</f>
        <v>P002 - Government</v>
      </c>
      <c r="F37" s="744">
        <f>SUM(F21,F28,F30,F36)</f>
        <v>25.693988000000004</v>
      </c>
      <c r="G37" s="744">
        <f>SUM(G21,G28,G30,G36)</f>
        <v>14.109558</v>
      </c>
      <c r="H37" s="590"/>
      <c r="I37"/>
      <c r="J37"/>
      <c r="K37"/>
      <c r="L37" s="447"/>
      <c r="M37" s="447"/>
    </row>
    <row r="38" spans="3:13" s="187" customFormat="1" ht="15" customHeight="1">
      <c r="C38" s="741" t="str">
        <f>IF(Indice_index!$Z$1=1,"METD","MEDT")</f>
        <v>MEDT</v>
      </c>
      <c r="D38" s="737" t="str">
        <f>IF(Indice_index!$Z$1=1,"P003 - Economia","P003 - Economy")</f>
        <v>P003 - Economy</v>
      </c>
      <c r="E38" s="746" t="str">
        <f>IF(Indice_index!$Z$1=1,"061 - Comércio e turismo - Comércio","061 - Trade and tourism - Trade")</f>
        <v>061 - Trade and tourism - Trade</v>
      </c>
      <c r="F38" s="740">
        <v>8.9449999999999998E-3</v>
      </c>
      <c r="G38" s="740">
        <v>8.9449999999999998E-3</v>
      </c>
      <c r="H38" s="590"/>
      <c r="I38"/>
      <c r="J38"/>
      <c r="K38"/>
      <c r="L38" s="447"/>
      <c r="M38" s="447"/>
    </row>
    <row r="39" spans="3:13" s="187" customFormat="1" ht="15" customHeight="1">
      <c r="C39" s="741"/>
      <c r="D39" s="737"/>
      <c r="E39" s="746" t="str">
        <f>IF(Indice_index!$Z$1=1,"062 - Comércio e turismo - Turismo","062 - Trade and tourism - Tourism")</f>
        <v>062 - Trade and tourism - Tourism</v>
      </c>
      <c r="F39" s="740">
        <v>3.1411920000000002</v>
      </c>
      <c r="G39" s="740">
        <v>2.8821219999999999</v>
      </c>
      <c r="H39" s="590"/>
      <c r="I39"/>
      <c r="J39"/>
      <c r="K39"/>
      <c r="L39" s="447"/>
      <c r="M39" s="447"/>
    </row>
    <row r="40" spans="3:13" s="187" customFormat="1" ht="15" customHeight="1">
      <c r="C40" s="741"/>
      <c r="D40" s="737"/>
      <c r="E40" s="746" t="str">
        <f>IF(Indice_index!$Z$1=1,"063 - Outras funções económicas - Administração e regulamentação","063 - Outher economic functions - Administration e regulation")</f>
        <v>063 - Outher economic functions - Administration e regulation</v>
      </c>
      <c r="F40" s="740">
        <v>2.7290399999999999</v>
      </c>
      <c r="G40" s="740">
        <v>2.9802900000000001</v>
      </c>
      <c r="H40" s="590"/>
      <c r="I40"/>
      <c r="J40"/>
      <c r="K40"/>
      <c r="L40" s="447"/>
      <c r="M40" s="447"/>
    </row>
    <row r="41" spans="3:13" s="187" customFormat="1" ht="15" customHeight="1">
      <c r="C41" s="741"/>
      <c r="D41" s="737"/>
      <c r="E41" s="746" t="str">
        <f>IF(Indice_index!$Z$1=1,"065 - Outras funções económicas - Diversas não especificadas","065 - Other economic functions - Various unspecified")</f>
        <v>065 - Other economic functions - Various unspecified</v>
      </c>
      <c r="F41" s="740">
        <v>7.9535119999999999</v>
      </c>
      <c r="G41" s="740">
        <v>7.960655</v>
      </c>
      <c r="H41" s="590"/>
      <c r="I41"/>
      <c r="J41"/>
      <c r="K41"/>
      <c r="L41" s="447"/>
      <c r="M41" s="447"/>
    </row>
    <row r="42" spans="3:13" s="187" customFormat="1" ht="15" customHeight="1">
      <c r="C42" s="741"/>
      <c r="D42" s="737"/>
      <c r="E42" s="746" t="str">
        <f>IF(Indice_index!$Z$1=1,"068 - Outras funções - Diversas não especificadas","068 - Other functions - Various unspecified")</f>
        <v>068 - Other functions - Various unspecified</v>
      </c>
      <c r="F42" s="740">
        <v>0.39325100000000002</v>
      </c>
      <c r="G42" s="740">
        <v>0.39325100000000002</v>
      </c>
      <c r="H42" s="590"/>
      <c r="I42"/>
      <c r="J42"/>
      <c r="K42"/>
      <c r="L42" s="447"/>
      <c r="M42" s="447"/>
    </row>
    <row r="43" spans="3:13" s="187" customFormat="1" ht="15" customHeight="1">
      <c r="C43" s="741"/>
      <c r="D43" s="737"/>
      <c r="E43" s="746"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43" s="740">
        <v>1.2849999999999999E-3</v>
      </c>
      <c r="G43" s="740">
        <v>0</v>
      </c>
      <c r="H43" s="590"/>
      <c r="I43"/>
      <c r="J43"/>
      <c r="K43"/>
      <c r="L43" s="447"/>
      <c r="M43" s="447"/>
    </row>
    <row r="44" spans="3:13" s="187" customFormat="1" ht="15" customHeight="1">
      <c r="C44" s="741"/>
      <c r="D44" s="737"/>
      <c r="E44" s="746" t="str">
        <f>IF(Indice_index!$Z$1=1,"083 - Segurança e Ação Social - Integração da pessoa com deficiência","083 - Social Security and Action - Integration of the handicapped person")</f>
        <v>083 - Social Security and Action - Integration of the handicapped person</v>
      </c>
      <c r="F44" s="740">
        <v>1.2849999999999999E-3</v>
      </c>
      <c r="G44" s="740">
        <v>1.2849999999999999E-3</v>
      </c>
      <c r="H44" s="590"/>
      <c r="I44"/>
      <c r="J44"/>
      <c r="K44"/>
      <c r="L44" s="447"/>
      <c r="M44" s="447"/>
    </row>
    <row r="45" spans="3:13" s="187" customFormat="1" ht="15" customHeight="1">
      <c r="C45" s="741"/>
      <c r="D45" s="737"/>
      <c r="E45" s="746" t="str">
        <f>IF(Indice_index!$Z$1=1,"086 - Comércio e Turismo - Imposto especial de jogo","086 - Trade and tourism - Special gambling tax")</f>
        <v>086 - Trade and tourism - Special gambling tax</v>
      </c>
      <c r="F45" s="740">
        <v>2.8429660000000001</v>
      </c>
      <c r="G45" s="740">
        <v>2.8429660000000001</v>
      </c>
      <c r="H45" s="590"/>
      <c r="I45"/>
      <c r="J45"/>
      <c r="K45"/>
      <c r="L45" s="447"/>
      <c r="M45" s="447"/>
    </row>
    <row r="46" spans="3:13" s="187" customFormat="1" ht="15" customHeight="1">
      <c r="C46" s="741"/>
      <c r="D46" s="737"/>
      <c r="E46" s="746" t="str">
        <f>IF(Indice_index!$Z$1=1,"095 - Contingência Covid 2019 - Prevenção, contenção, mitigação e tratamento","095 - Covid 2019 Contingency - Prevention, Containment, Mitigation and Treatment")</f>
        <v>095 - Covid 2019 Contingency - Prevention, Containment, Mitigation and Treatment</v>
      </c>
      <c r="F46" s="740">
        <v>8.6690000000000003E-2</v>
      </c>
      <c r="G46" s="740">
        <v>8.5856000000000002E-2</v>
      </c>
      <c r="H46" s="590"/>
      <c r="I46"/>
      <c r="J46"/>
      <c r="K46"/>
      <c r="L46" s="447"/>
      <c r="M46" s="447"/>
    </row>
    <row r="47" spans="3:13" s="187" customFormat="1" ht="15" customHeight="1">
      <c r="C47" s="741"/>
      <c r="D47" s="737"/>
      <c r="E47" s="746" t="str">
        <f>IF(Indice_index!$Z$1=1,"096 - Contingência Covid 2019 - Garantir Normalidade","096 - Covid Contingency 2019 - Ensure Normality")</f>
        <v>096 - Covid Contingency 2019 - Ensure Normality</v>
      </c>
      <c r="F47" s="740">
        <v>4.6462000000000003E-2</v>
      </c>
      <c r="G47" s="740">
        <v>4.6462000000000003E-2</v>
      </c>
      <c r="H47" s="590"/>
      <c r="I47"/>
      <c r="J47"/>
      <c r="K47"/>
      <c r="L47" s="447"/>
      <c r="M47" s="447"/>
    </row>
    <row r="48" spans="3:13" s="187" customFormat="1" ht="15" customHeight="1">
      <c r="C48" s="741"/>
      <c r="D48" s="742"/>
      <c r="E48" s="748" t="str">
        <f>D38</f>
        <v>P003 - Economy</v>
      </c>
      <c r="F48" s="744">
        <f>SUM(F38:F47)</f>
        <v>17.204628</v>
      </c>
      <c r="G48" s="744">
        <f>SUM(G38:G47)</f>
        <v>17.201831999999996</v>
      </c>
      <c r="H48" s="590"/>
      <c r="I48"/>
      <c r="J48"/>
      <c r="K48"/>
      <c r="L48" s="447"/>
      <c r="M48" s="447"/>
    </row>
    <row r="49" spans="3:13" s="187" customFormat="1" ht="15" customHeight="1">
      <c r="C49" s="741" t="str">
        <f>IF(Indice_index!$Z$1=1,"MNE","MFA")</f>
        <v>MFA</v>
      </c>
      <c r="D49" s="737" t="str">
        <f>IF(Indice_index!$Z$1=1,"P004 - Representação Externa","P004 - Foreign Affairs")</f>
        <v>P004 - Foreign Affairs</v>
      </c>
      <c r="E49" s="738" t="str">
        <f>IF(Indice_index!$Z$1=1,"002 - Serv. Gerais da A.P. - Negócios estrangeiros","002 - General public services - Foreign affairs")</f>
        <v>002 - General public services - Foreign affairs</v>
      </c>
      <c r="F49" s="739">
        <v>25.112763999999999</v>
      </c>
      <c r="G49" s="739">
        <v>22.939209999999999</v>
      </c>
      <c r="H49" s="590"/>
      <c r="I49"/>
      <c r="J49"/>
      <c r="K49"/>
      <c r="L49" s="447"/>
      <c r="M49" s="447"/>
    </row>
    <row r="50" spans="3:13" s="187" customFormat="1" ht="15" customHeight="1">
      <c r="C50" s="741"/>
      <c r="D50" s="737"/>
      <c r="E50" s="738" t="str">
        <f>IF(Indice_index!$Z$1=1,"003 - Serv. Gerais da A.P. - Cooperação económica externa","003 - General public services - External economic cooperation")</f>
        <v>003 - General public services - External economic cooperation</v>
      </c>
      <c r="F50" s="740">
        <v>3.9245000000000002E-2</v>
      </c>
      <c r="G50" s="740">
        <v>3.9245000000000002E-2</v>
      </c>
      <c r="H50" s="590"/>
      <c r="I50"/>
      <c r="J50"/>
      <c r="K50"/>
      <c r="L50" s="447"/>
      <c r="M50" s="447"/>
    </row>
    <row r="51" spans="3:13" s="187" customFormat="1" ht="15" customHeight="1">
      <c r="C51" s="741"/>
      <c r="D51" s="737"/>
      <c r="E51" s="738" t="str">
        <f>IF(Indice_index!$Z$1=1,"065 - Outras funções económicas - Diversas não especificadas","065 - Other economic functions - Various unspecified")</f>
        <v>065 - Other economic functions - Various unspecified</v>
      </c>
      <c r="F51" s="740">
        <v>5.4285579999999998</v>
      </c>
      <c r="G51" s="740">
        <v>5.4285579999999998</v>
      </c>
      <c r="H51" s="590"/>
      <c r="I51"/>
      <c r="J51"/>
      <c r="K51"/>
      <c r="L51" s="447"/>
      <c r="M51" s="447"/>
    </row>
    <row r="52" spans="3:13" s="187" customFormat="1" ht="15" customHeight="1">
      <c r="C52" s="741"/>
      <c r="D52" s="737"/>
      <c r="E52" s="746" t="str">
        <f>IF(Indice_index!$Z$1=1,"095 - Contingência Covid 2019 - Prevenção, contenção, mitigação e tratamento","095 - Covid 2019 Contingency - Prevention, Containment, Mitigation and Treatment")</f>
        <v>095 - Covid 2019 Contingency - Prevention, Containment, Mitigation and Treatment</v>
      </c>
      <c r="F52" s="740">
        <v>0.71297100000000002</v>
      </c>
      <c r="G52" s="740">
        <v>0.71297100000000002</v>
      </c>
      <c r="H52" s="590"/>
      <c r="I52"/>
      <c r="J52"/>
      <c r="K52"/>
      <c r="L52" s="447"/>
      <c r="M52" s="447"/>
    </row>
    <row r="53" spans="3:13" s="187" customFormat="1" ht="15" customHeight="1">
      <c r="C53" s="741"/>
      <c r="D53" s="737"/>
      <c r="E53" s="746" t="str">
        <f>IF(Indice_index!$Z$1=1,"096 - Contingência Covid 2019 - Garantir Normalidade","096 - Covid Contingency 2019 - Ensure Normality")</f>
        <v>096 - Covid Contingency 2019 - Ensure Normality</v>
      </c>
      <c r="F53" s="740">
        <v>4.3017E-2</v>
      </c>
      <c r="G53" s="740">
        <v>4.3017E-2</v>
      </c>
      <c r="H53" s="590"/>
      <c r="I53"/>
      <c r="J53"/>
      <c r="K53"/>
      <c r="L53" s="447"/>
      <c r="M53" s="447"/>
    </row>
    <row r="54" spans="3:13" s="187" customFormat="1" ht="15" customHeight="1">
      <c r="C54" s="741"/>
      <c r="D54" s="742"/>
      <c r="E54" s="748" t="str">
        <f>D49</f>
        <v>P004 - Foreign Affairs</v>
      </c>
      <c r="F54" s="744">
        <f>SUM(F49:F53)</f>
        <v>31.336554999999997</v>
      </c>
      <c r="G54" s="744">
        <f t="shared" ref="G54" si="0">SUM(G49:G53)</f>
        <v>29.163000999999998</v>
      </c>
      <c r="H54" s="590"/>
      <c r="I54"/>
      <c r="J54"/>
      <c r="K54"/>
      <c r="L54" s="447"/>
      <c r="M54" s="447"/>
    </row>
    <row r="55" spans="3:13" s="187" customFormat="1" ht="15" customHeight="1">
      <c r="C55" s="741" t="str">
        <f>IF(Indice_index!$Z$1=1,"MF","MF")</f>
        <v>MF</v>
      </c>
      <c r="D55" s="737" t="str">
        <f>IF(Indice_index!$Z$1=1,"P005 - Finanças","P005 - Finance and Public Administration")</f>
        <v>P005 - Finance and Public Administration</v>
      </c>
      <c r="E55" s="738" t="str">
        <f>IF(Indice_index!$Z$1=1,"001 - Serv. Gerais da A.P. - Administração geral","001 - General public services - General Administration")</f>
        <v>001 - General public services - General Administration</v>
      </c>
      <c r="F55" s="739">
        <v>49.170408000000002</v>
      </c>
      <c r="G55" s="739">
        <v>50.033088999999997</v>
      </c>
      <c r="H55" s="590"/>
      <c r="I55"/>
      <c r="J55"/>
      <c r="K55"/>
      <c r="L55" s="447"/>
      <c r="M55" s="447"/>
    </row>
    <row r="56" spans="3:13" s="187" customFormat="1" ht="15" customHeight="1">
      <c r="C56" s="741"/>
      <c r="D56" s="737"/>
      <c r="E56" s="738" t="str">
        <f>IF(Indice_index!$Z$1=1,"003 - Serv. Gerais da A.P. - Cooperação económica externa","003 - General public services - External economic cooperation")</f>
        <v>003 - General public services - External economic cooperation</v>
      </c>
      <c r="F56" s="740">
        <v>4.3853999999999997E-2</v>
      </c>
      <c r="G56" s="740">
        <v>4.3853999999999997E-2</v>
      </c>
      <c r="H56" s="590"/>
      <c r="I56"/>
      <c r="J56"/>
      <c r="K56"/>
      <c r="L56" s="447"/>
      <c r="M56" s="447"/>
    </row>
    <row r="57" spans="3:13" s="187" customFormat="1" ht="15" customHeight="1">
      <c r="C57" s="741"/>
      <c r="D57" s="737"/>
      <c r="E57" s="738" t="str">
        <f>IF(Indice_index!$Z$1=1,"065 - Outras funções económicas - Diversas não especificadas","065 - Other economic functions - Various unspecified")</f>
        <v>065 - Other economic functions - Various unspecified</v>
      </c>
      <c r="F57" s="740">
        <v>49.695844999999998</v>
      </c>
      <c r="G57" s="740">
        <v>49.969594999999998</v>
      </c>
      <c r="H57" s="590"/>
      <c r="I57"/>
      <c r="J57"/>
      <c r="K57"/>
      <c r="L57" s="447"/>
      <c r="M57" s="447"/>
    </row>
    <row r="58" spans="3:13" s="187" customFormat="1" ht="15" customHeight="1">
      <c r="C58" s="741"/>
      <c r="D58" s="737"/>
      <c r="E58" s="746" t="str">
        <f>IF(Indice_index!$Z$1=1,"095 - Contingência Covid 2019 - Prevenção, contenção, mitigação e tratamento","095 - Covid 2019 Contingency - Prevention, Containment, Mitigation and Treatment")</f>
        <v>095 - Covid 2019 Contingency - Prevention, Containment, Mitigation and Treatment</v>
      </c>
      <c r="F58" s="740">
        <v>0.289466</v>
      </c>
      <c r="G58" s="740">
        <v>0.289466</v>
      </c>
      <c r="H58" s="590"/>
      <c r="I58"/>
      <c r="J58"/>
      <c r="K58"/>
      <c r="L58" s="447"/>
      <c r="M58" s="447"/>
    </row>
    <row r="59" spans="3:13" s="187" customFormat="1" ht="15" customHeight="1">
      <c r="C59" s="741"/>
      <c r="D59" s="737"/>
      <c r="E59" s="746" t="str">
        <f>IF(Indice_index!$Z$1=1,"096 - Contingência Covid 2019 - Garantir Normalidade","096 - Covid Contingency 2019 - Ensure Normality")</f>
        <v>096 - Covid Contingency 2019 - Ensure Normality</v>
      </c>
      <c r="F59" s="740">
        <v>0.233212</v>
      </c>
      <c r="G59" s="740">
        <v>0.26446199999999997</v>
      </c>
      <c r="H59" s="590"/>
      <c r="I59"/>
      <c r="J59"/>
      <c r="K59"/>
      <c r="L59" s="447"/>
      <c r="M59" s="447"/>
    </row>
    <row r="60" spans="3:13" s="187" customFormat="1" ht="15" customHeight="1">
      <c r="C60" s="741"/>
      <c r="D60" s="742"/>
      <c r="E60" s="748" t="str">
        <f>D55</f>
        <v>P005 - Finance and Public Administration</v>
      </c>
      <c r="F60" s="744">
        <f>SUM(F55:F59)</f>
        <v>99.43278500000001</v>
      </c>
      <c r="G60" s="744">
        <f>SUM(G55:G59)</f>
        <v>100.600466</v>
      </c>
      <c r="H60" s="590"/>
      <c r="I60"/>
      <c r="J60"/>
      <c r="K60"/>
      <c r="L60" s="447"/>
      <c r="M60" s="447"/>
    </row>
    <row r="61" spans="3:13" s="187" customFormat="1" ht="15" customHeight="1">
      <c r="C61" s="741"/>
      <c r="D61" s="749" t="str">
        <f>IF(Indice_index!$Z$1=1,"P006 - Gestão da Dívida Pública","P006 - Public Debt Management")</f>
        <v>P006 - Public Debt Management</v>
      </c>
      <c r="E61" s="750" t="str">
        <f>IF(Indice_index!$Z$1=1,"066 - Outras funções - Operações da dívida pública","066 - Other functions - Public debt operations")</f>
        <v>066 - Other functions - Public debt operations</v>
      </c>
      <c r="F61" s="740">
        <v>9.8699999999999996E-2</v>
      </c>
      <c r="G61" s="740">
        <v>9.8699999999999996E-2</v>
      </c>
      <c r="H61" s="590"/>
      <c r="I61"/>
      <c r="J61"/>
      <c r="K61"/>
      <c r="L61" s="447"/>
      <c r="M61" s="447"/>
    </row>
    <row r="62" spans="3:13" s="187" customFormat="1" ht="15" customHeight="1">
      <c r="C62" s="741" t="str">
        <f>IF(Indice_index!$Z$1=1,"MDN","MND")</f>
        <v>MND</v>
      </c>
      <c r="D62" s="737" t="str">
        <f>IF(Indice_index!$Z$1=1,"P007 - Defesa","P007 - Defence")</f>
        <v>P007 - Defence</v>
      </c>
      <c r="E62" s="738" t="str">
        <f>IF(Indice_index!$Z$1=1,"004 - Serv. Gerais da A.P. - Investigação científica de carácter geral","004 - General public services - General scientific research")</f>
        <v>004 - General public services - General scientific research</v>
      </c>
      <c r="F62" s="739">
        <v>9.0999999999999998E-2</v>
      </c>
      <c r="G62" s="739">
        <v>9.0999999999999998E-2</v>
      </c>
      <c r="H62" s="590"/>
      <c r="I62"/>
      <c r="J62"/>
      <c r="K62"/>
      <c r="L62" s="447"/>
      <c r="M62" s="447"/>
    </row>
    <row r="63" spans="3:13" s="187" customFormat="1" ht="15" customHeight="1">
      <c r="C63" s="741"/>
      <c r="D63" s="737"/>
      <c r="E63" s="738" t="str">
        <f>IF(Indice_index!$Z$1=1,"005 - Defesa Nacional - Administração e regulamentação","005 - National Defence - Administration and regulations")</f>
        <v>005 - National Defence - Administration and regulations</v>
      </c>
      <c r="F63" s="740">
        <v>6.3276000000000003</v>
      </c>
      <c r="G63" s="740">
        <v>6.8437080000000003</v>
      </c>
      <c r="H63" s="590"/>
      <c r="I63"/>
      <c r="J63"/>
      <c r="K63"/>
      <c r="L63" s="447"/>
      <c r="M63" s="447"/>
    </row>
    <row r="64" spans="3:13" s="187" customFormat="1" ht="15" customHeight="1">
      <c r="C64" s="741"/>
      <c r="D64" s="737"/>
      <c r="E64" s="738" t="str">
        <f>IF(Indice_index!$Z$1=1,"006 - Defesa Nacional - Investigação","006 - National Defence - Research")</f>
        <v>006 - National Defence - Research</v>
      </c>
      <c r="F64" s="740">
        <v>0.12930900000000001</v>
      </c>
      <c r="G64" s="740">
        <v>0.130385</v>
      </c>
      <c r="H64" s="590"/>
      <c r="I64"/>
      <c r="J64"/>
      <c r="K64"/>
      <c r="L64" s="447"/>
      <c r="M64" s="447"/>
    </row>
    <row r="65" spans="3:13" s="187" customFormat="1" ht="15" customHeight="1">
      <c r="C65" s="741"/>
      <c r="D65" s="737"/>
      <c r="E65" s="738" t="str">
        <f>IF(Indice_index!$Z$1=1,"007 - Defesa Nacional - Forças Armadas","007 - National Defence - Armed Forces")</f>
        <v>007 - National Defence - Armed Forces</v>
      </c>
      <c r="F65" s="740">
        <v>55.457625</v>
      </c>
      <c r="G65" s="740">
        <v>39.355984999999997</v>
      </c>
      <c r="H65" s="590"/>
      <c r="I65"/>
      <c r="J65"/>
      <c r="K65"/>
      <c r="L65" s="447"/>
      <c r="M65" s="447"/>
    </row>
    <row r="66" spans="3:13" s="187" customFormat="1" ht="15" customHeight="1">
      <c r="C66" s="741"/>
      <c r="D66" s="737"/>
      <c r="E66" s="738" t="str">
        <f>IF(Indice_index!$Z$1=1,"008 - Defesa Nacional - Cooperação militar externa","008 - National Defence - Foreign military cooperation")</f>
        <v>008 - National Defence - Foreign military cooperation</v>
      </c>
      <c r="F66" s="740">
        <v>1.2460420000000001</v>
      </c>
      <c r="G66" s="740">
        <v>1.263949</v>
      </c>
      <c r="H66" s="590"/>
      <c r="I66"/>
      <c r="J66"/>
      <c r="K66"/>
      <c r="L66" s="447"/>
      <c r="M66" s="447"/>
    </row>
    <row r="67" spans="3:13" s="187" customFormat="1" ht="15" customHeight="1">
      <c r="C67" s="741"/>
      <c r="D67" s="737"/>
      <c r="E67" s="738" t="str">
        <f>IF(Indice_index!$Z$1=1,"014 - Segurança e ordem públicas - Protecção civil e luta contra incêndios","014 - Public safety and order - Civil Protection and  fire fighting")</f>
        <v>014 - Public safety and order - Civil Protection and  fire fighting</v>
      </c>
      <c r="F67" s="740">
        <v>12.599636</v>
      </c>
      <c r="G67" s="740">
        <v>0.113625</v>
      </c>
      <c r="H67" s="590"/>
      <c r="I67"/>
      <c r="J67"/>
      <c r="K67"/>
      <c r="L67" s="447"/>
      <c r="M67" s="447"/>
    </row>
    <row r="68" spans="3:13" s="187" customFormat="1" ht="15" customHeight="1">
      <c r="C68" s="741"/>
      <c r="D68" s="737"/>
      <c r="E68" s="738" t="str">
        <f>IF(Indice_index!$Z$1=1,"017 - Educação - Estabelecimentos de ensino não superior","017 - Education - Non higher educations institutions")</f>
        <v>017 - Education - Non higher educations institutions</v>
      </c>
      <c r="F68" s="740">
        <v>0.145955</v>
      </c>
      <c r="G68" s="740">
        <v>2.0955000000000001E-2</v>
      </c>
      <c r="H68" s="590"/>
      <c r="I68"/>
      <c r="J68"/>
      <c r="K68"/>
      <c r="L68" s="447"/>
      <c r="M68" s="447"/>
    </row>
    <row r="69" spans="3:13" s="187" customFormat="1" ht="15" customHeight="1">
      <c r="C69" s="741"/>
      <c r="D69" s="737"/>
      <c r="E69" s="738" t="str">
        <f>IF(Indice_index!$Z$1=1,"018 - Educação - Estabelecimentos de ensino superior","018 - Education - Higher educations institutions")</f>
        <v>018 - Education - Higher educations institutions</v>
      </c>
      <c r="F69" s="740">
        <v>1.7583999999999999E-2</v>
      </c>
      <c r="G69" s="740">
        <v>1.7583999999999999E-2</v>
      </c>
      <c r="H69" s="590"/>
      <c r="I69"/>
      <c r="J69"/>
      <c r="K69"/>
      <c r="L69" s="447"/>
      <c r="M69" s="447"/>
    </row>
    <row r="70" spans="3:13" s="187" customFormat="1" ht="15" customHeight="1">
      <c r="C70" s="741"/>
      <c r="D70" s="737"/>
      <c r="E70" s="738" t="str">
        <f>IF(Indice_index!$Z$1=1,"022 - Saúde - Hospitais e clínicas","022 - Health - Hospitals and clinics")</f>
        <v>022 - Health - Hospitals and clinics</v>
      </c>
      <c r="F70" s="740">
        <v>0.26040200000000002</v>
      </c>
      <c r="G70" s="740">
        <v>0.26040200000000002</v>
      </c>
      <c r="H70" s="590"/>
      <c r="I70"/>
      <c r="J70"/>
      <c r="K70"/>
      <c r="L70" s="447"/>
      <c r="M70" s="447"/>
    </row>
    <row r="71" spans="3:13" s="187" customFormat="1" ht="15" customHeight="1">
      <c r="C71" s="741"/>
      <c r="D71" s="737"/>
      <c r="E71" s="746" t="str">
        <f>IF(Indice_index!$Z$1=1,"027 - Segurança e acção social - Acção social","027 - Social Security and Action - Social Action")</f>
        <v>027 - Social Security and Action - Social Action</v>
      </c>
      <c r="F71" s="740">
        <v>6.5390670000000002</v>
      </c>
      <c r="G71" s="740">
        <v>2.8249999999999998E-3</v>
      </c>
      <c r="H71" s="590"/>
      <c r="I71"/>
      <c r="J71"/>
      <c r="K71"/>
      <c r="L71" s="447"/>
      <c r="M71" s="447"/>
    </row>
    <row r="72" spans="3:13" s="187" customFormat="1" ht="15" customHeight="1">
      <c r="C72" s="741"/>
      <c r="D72" s="737"/>
      <c r="E72" s="738" t="str">
        <f>IF(Indice_index!$Z$1=1,"049 - Industria e energia - Indústrias transformadoras","049 - Industry and energy - Manufacturing industries")</f>
        <v>049 - Industry and energy - Manufacturing industries</v>
      </c>
      <c r="F72" s="740">
        <v>15.520673</v>
      </c>
      <c r="G72" s="740">
        <v>16.109036</v>
      </c>
      <c r="H72" s="590"/>
      <c r="I72"/>
      <c r="J72"/>
      <c r="K72"/>
      <c r="L72" s="447"/>
      <c r="M72" s="447"/>
    </row>
    <row r="73" spans="3:13" s="187" customFormat="1" ht="15" customHeight="1">
      <c r="C73" s="741"/>
      <c r="D73" s="737"/>
      <c r="E73" s="746" t="str">
        <f>IF(Indice_index!$Z$1=1,"095 - Contingência Covid 2019 - Prevenção, contenção, mitigação e tratamento","095 - Covid 2019 Contingency - Prevention, Containment, Mitigation and Treatment")</f>
        <v>095 - Covid 2019 Contingency - Prevention, Containment, Mitigation and Treatment</v>
      </c>
      <c r="F73" s="740">
        <v>0.15746099999999999</v>
      </c>
      <c r="G73" s="740">
        <v>0.15746099999999999</v>
      </c>
      <c r="H73" s="590"/>
      <c r="I73"/>
      <c r="J73"/>
      <c r="K73"/>
      <c r="L73" s="447"/>
      <c r="M73" s="447"/>
    </row>
    <row r="74" spans="3:13" s="187" customFormat="1" ht="15" customHeight="1">
      <c r="C74" s="741"/>
      <c r="D74" s="737"/>
      <c r="E74" s="746" t="str">
        <f>IF(Indice_index!$Z$1=1,"096 - Contingência Covid 2019 - Garantir Normalidade","096 - Covid Contingency 2019 - Ensure Normality")</f>
        <v>096 - Covid Contingency 2019 - Ensure Normality</v>
      </c>
      <c r="F74" s="740">
        <v>1.0281999999999999E-2</v>
      </c>
      <c r="G74" s="740">
        <v>1.0281999999999999E-2</v>
      </c>
      <c r="H74" s="590"/>
      <c r="I74"/>
      <c r="J74"/>
      <c r="K74"/>
      <c r="L74" s="447"/>
      <c r="M74" s="447"/>
    </row>
    <row r="75" spans="3:13" s="187" customFormat="1" ht="15" customHeight="1">
      <c r="C75" s="741"/>
      <c r="D75" s="742"/>
      <c r="E75" s="748" t="str">
        <f>D62</f>
        <v>P007 - Defence</v>
      </c>
      <c r="F75" s="751">
        <f>SUM(F62:F74)</f>
        <v>98.50263600000001</v>
      </c>
      <c r="G75" s="751">
        <f>SUM(G62:G74)</f>
        <v>64.377196999999995</v>
      </c>
      <c r="H75" s="590"/>
      <c r="I75"/>
      <c r="J75"/>
      <c r="K75"/>
      <c r="L75" s="447"/>
      <c r="M75" s="447"/>
    </row>
    <row r="76" spans="3:13" s="187" customFormat="1" ht="15" customHeight="1">
      <c r="C76" s="741" t="str">
        <f>IF(Indice_index!$Z$1=1,"MAI","MIA")</f>
        <v>MIA</v>
      </c>
      <c r="D76" s="737" t="str">
        <f>IF(Indice_index!$Z$1=1,"P008 - Segurança Interna","P008 - Internal Security")</f>
        <v>P008 - Internal Security</v>
      </c>
      <c r="E76" s="746" t="str">
        <f>IF(Indice_index!$Z$1=1,"009 - Segurança e ordem públicas - Administração e regulamentação","009 - Public safety and order - Administration and regulations")</f>
        <v>009 - Public safety and order - Administration and regulations</v>
      </c>
      <c r="F76" s="740">
        <v>6.3738349999999997</v>
      </c>
      <c r="G76" s="740">
        <v>3.2905600000000002</v>
      </c>
      <c r="H76" s="590"/>
      <c r="I76"/>
      <c r="J76"/>
      <c r="K76"/>
      <c r="L76" s="447"/>
      <c r="M76" s="447"/>
    </row>
    <row r="77" spans="3:13" s="187" customFormat="1" ht="15" customHeight="1">
      <c r="C77" s="741"/>
      <c r="D77" s="737"/>
      <c r="E77" s="752" t="str">
        <f>IF(Indice_index!$Z$1=1,"011 - Segurança e ordem públicas - Forças de segurança","011 - Public safety and order - Security forces")</f>
        <v>011 - Public safety and order - Security forces</v>
      </c>
      <c r="F77" s="753">
        <v>26.828285999999999</v>
      </c>
      <c r="G77" s="753">
        <v>24.991954</v>
      </c>
      <c r="H77" s="590"/>
      <c r="I77"/>
      <c r="J77"/>
      <c r="K77"/>
      <c r="L77" s="447"/>
      <c r="M77" s="447"/>
    </row>
    <row r="78" spans="3:13" s="187" customFormat="1" ht="15" customHeight="1">
      <c r="C78" s="741"/>
      <c r="D78" s="737"/>
      <c r="E78" s="752" t="str">
        <f>IF(Indice_index!$Z$1=1,"014 - Segurança e ordem públicas - Protecção civil e luta contra incêndios","014 - Public safety and order - Civil Protection and  fire fighting")</f>
        <v>014 - Public safety and order - Civil Protection and  fire fighting</v>
      </c>
      <c r="F78" s="753">
        <v>1.7789090000000001</v>
      </c>
      <c r="G78" s="753">
        <v>1.7789090000000001</v>
      </c>
      <c r="H78" s="590"/>
      <c r="I78"/>
      <c r="J78"/>
      <c r="K78"/>
      <c r="L78" s="447"/>
      <c r="M78" s="447"/>
    </row>
    <row r="79" spans="3:13" s="187" customFormat="1" ht="15" customHeight="1">
      <c r="C79" s="741"/>
      <c r="D79" s="737"/>
      <c r="E79" s="746" t="str">
        <f>IF(Indice_index!$Z$1=1,"017 - Educação - Estabelecimentos de ensino não superior","017 - Education - Non higher educations institutions")</f>
        <v>017 - Education - Non higher educations institutions</v>
      </c>
      <c r="F79" s="740">
        <v>1.7094400000000001</v>
      </c>
      <c r="G79" s="740">
        <v>1.7094400000000001</v>
      </c>
      <c r="H79" s="590"/>
      <c r="I79"/>
      <c r="J79"/>
      <c r="K79"/>
      <c r="L79" s="447"/>
      <c r="M79" s="447"/>
    </row>
    <row r="80" spans="3:13" s="187" customFormat="1" ht="15" customHeight="1">
      <c r="C80" s="741"/>
      <c r="D80" s="737"/>
      <c r="E80" s="746" t="str">
        <f>IF(Indice_index!$Z$1=1,"018 - Educação - Estabelecimentos de ensino superior","018 - Education - Higher educations institutions")</f>
        <v>018 - Education - Higher educations institutions</v>
      </c>
      <c r="F80" s="740">
        <v>0.91472900000000001</v>
      </c>
      <c r="G80" s="740">
        <v>0.91472900000000001</v>
      </c>
      <c r="H80" s="590"/>
      <c r="I80"/>
      <c r="J80"/>
      <c r="K80"/>
      <c r="L80" s="447"/>
      <c r="M80" s="447"/>
    </row>
    <row r="81" spans="3:13" s="187" customFormat="1" ht="15" customHeight="1">
      <c r="C81" s="741"/>
      <c r="D81" s="737"/>
      <c r="E81" s="746" t="str">
        <f>IF(Indice_index!$Z$1=1,"027 - Segurança e acção social - Acção social","027 - Social Security and Action - Social Action")</f>
        <v>027 - Social Security and Action - Social Action</v>
      </c>
      <c r="F81" s="740">
        <v>1.2847930000000001</v>
      </c>
      <c r="G81" s="740">
        <v>1.2847930000000001</v>
      </c>
      <c r="H81" s="590"/>
      <c r="I81"/>
      <c r="J81"/>
      <c r="K81"/>
      <c r="L81" s="447"/>
      <c r="M81" s="447"/>
    </row>
    <row r="82" spans="3:13" s="187" customFormat="1" ht="15" customHeight="1">
      <c r="C82" s="741"/>
      <c r="D82" s="737"/>
      <c r="E82" s="746"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82" s="740">
        <v>9.1430999999999998E-2</v>
      </c>
      <c r="G82" s="740">
        <v>9.1430999999999998E-2</v>
      </c>
      <c r="H82" s="590"/>
      <c r="I82"/>
      <c r="J82"/>
      <c r="K82"/>
      <c r="L82" s="447"/>
      <c r="M82" s="447"/>
    </row>
    <row r="83" spans="3:13" s="187" customFormat="1" ht="15" customHeight="1">
      <c r="C83" s="741"/>
      <c r="D83" s="737"/>
      <c r="E83" s="754" t="str">
        <f>IF(Indice_index!$Z$1=1,"083 - Segurança e Ação Social - Integração da pessoa com deficiência","083 - Social Security and Action - Integration of the handicapped person")</f>
        <v>083 - Social Security and Action - Integration of the handicapped person</v>
      </c>
      <c r="F83" s="740">
        <v>7.9199999999999995E-4</v>
      </c>
      <c r="G83" s="740">
        <v>7.9199999999999995E-4</v>
      </c>
      <c r="H83" s="590"/>
      <c r="I83"/>
      <c r="J83"/>
      <c r="K83"/>
      <c r="L83" s="447"/>
      <c r="M83" s="447"/>
    </row>
    <row r="84" spans="3:13" s="187" customFormat="1" ht="24.75" customHeight="1">
      <c r="C84" s="741"/>
      <c r="D84" s="737"/>
      <c r="E84" s="755"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Public safety and order - Infrastructure and equipment planning law for security forces and services - Information and Communication Technology systems</v>
      </c>
      <c r="F84" s="740">
        <v>6.272424</v>
      </c>
      <c r="G84" s="740">
        <v>6.272424</v>
      </c>
      <c r="H84" s="590"/>
      <c r="I84"/>
      <c r="J84"/>
      <c r="K84"/>
      <c r="L84" s="447"/>
      <c r="M84" s="447"/>
    </row>
    <row r="85" spans="3:13" s="187" customFormat="1" ht="15" customHeight="1">
      <c r="C85" s="741"/>
      <c r="D85" s="737"/>
      <c r="E85" s="756" t="str">
        <f>IF(Indice_index!$Z$1=1,"089 - Segurança e ordem públicas - LPIEFSS - Veículos","089 - Public safety and order - Infrastructure and equipment planning law for security forces and services - Vehicles")</f>
        <v>089 - Public safety and order - Infrastructure and equipment planning law for security forces and services - Vehicles</v>
      </c>
      <c r="F85" s="740">
        <v>1.9375</v>
      </c>
      <c r="G85" s="740">
        <v>1.9375</v>
      </c>
      <c r="H85" s="590"/>
      <c r="I85"/>
      <c r="J85"/>
      <c r="K85"/>
      <c r="L85" s="447"/>
      <c r="M85" s="447"/>
    </row>
    <row r="86" spans="3:13" s="187" customFormat="1" ht="15" customHeight="1">
      <c r="C86" s="741"/>
      <c r="D86" s="737"/>
      <c r="E86" s="756" t="str">
        <f>IF(Indice_index!$Z$1=1,"092 - Segurança e ordem públicas - LPIEFSS - Equipamentomde Apoio Atividade Operacional","092 - Public safety and order - Infrastructure and equipment planning law for security forces and services - Support equipment to Operational Activity")</f>
        <v>092 - Public safety and order - Infrastructure and equipment planning law for security forces and services - Support equipment to Operational Activity</v>
      </c>
      <c r="F86" s="740">
        <v>0.125</v>
      </c>
      <c r="G86" s="740">
        <v>0.125</v>
      </c>
      <c r="H86" s="590"/>
      <c r="I86"/>
      <c r="J86"/>
      <c r="K86"/>
      <c r="L86" s="447"/>
      <c r="M86" s="447"/>
    </row>
    <row r="87" spans="3:13" s="187" customFormat="1" ht="15" customHeight="1">
      <c r="C87" s="741"/>
      <c r="D87" s="737"/>
      <c r="E87" s="756" t="str">
        <f>IF(Indice_index!$Z$1=1,"093 - Segurança e ordem públicas - LPIEFSS - Equipamento para funções Especializadas","093 - Public safety and order - Infrastructure and equipment planning law for security forces and services - Specialised function equipment")</f>
        <v>093 - Public safety and order - Infrastructure and equipment planning law for security forces and services - Specialised function equipment</v>
      </c>
      <c r="F87" s="740">
        <v>0.28999999999999998</v>
      </c>
      <c r="G87" s="740">
        <v>0.28999999999999998</v>
      </c>
      <c r="H87" s="590"/>
      <c r="I87"/>
      <c r="J87"/>
      <c r="K87"/>
      <c r="L87" s="447"/>
      <c r="M87" s="447"/>
    </row>
    <row r="88" spans="3:13" s="187" customFormat="1" ht="15" customHeight="1">
      <c r="C88" s="741"/>
      <c r="D88" s="737"/>
      <c r="E88" s="746" t="str">
        <f>IF(Indice_index!$Z$1=1,"095 - Contingência Covid 2019 - Prevenção, contenção, mitigação e tratamento","095 - Covid 2019 Contingency - Prevention, Containment, Mitigation and Treatment")</f>
        <v>095 - Covid 2019 Contingency - Prevention, Containment, Mitigation and Treatment</v>
      </c>
      <c r="F88" s="740">
        <v>0.46963199999999999</v>
      </c>
      <c r="G88" s="740">
        <v>0.47481200000000001</v>
      </c>
      <c r="H88" s="590"/>
      <c r="I88"/>
      <c r="J88"/>
      <c r="K88"/>
      <c r="L88" s="447"/>
      <c r="M88" s="447"/>
    </row>
    <row r="89" spans="3:13" s="187" customFormat="1" ht="15" customHeight="1">
      <c r="C89" s="741"/>
      <c r="D89" s="737"/>
      <c r="E89" s="746" t="str">
        <f>IF(Indice_index!$Z$1=1,"096 - Contingência Covid 2019 - Garantir Normalidade","096 - Covid Contingency 2019 - Ensure Normality")</f>
        <v>096 - Covid Contingency 2019 - Ensure Normality</v>
      </c>
      <c r="F89" s="740">
        <v>0.112326</v>
      </c>
      <c r="G89" s="740">
        <v>0.112326</v>
      </c>
      <c r="H89" s="590"/>
      <c r="I89"/>
      <c r="J89"/>
      <c r="K89"/>
      <c r="L89" s="447"/>
      <c r="M89" s="447"/>
    </row>
    <row r="90" spans="3:13" s="187" customFormat="1" ht="15" customHeight="1">
      <c r="C90" s="741"/>
      <c r="D90" s="737"/>
      <c r="E90" s="755" t="str">
        <f>IF(Indice_index!$Z$1=1,"100 - Iniciativas de  Ação Climática","100 - Climate Action Iniciatives")</f>
        <v>100 - Climate Action Iniciatives</v>
      </c>
      <c r="F90" s="740">
        <v>5.3436999999999998E-2</v>
      </c>
      <c r="G90" s="740">
        <v>5.3436999999999998E-2</v>
      </c>
      <c r="H90" s="590"/>
      <c r="I90"/>
      <c r="J90"/>
      <c r="K90"/>
      <c r="L90" s="447"/>
      <c r="M90" s="447"/>
    </row>
    <row r="91" spans="3:13" s="187" customFormat="1" ht="15" customHeight="1">
      <c r="C91" s="741"/>
      <c r="D91" s="742"/>
      <c r="E91" s="748" t="str">
        <f>D76</f>
        <v>P008 - Internal Security</v>
      </c>
      <c r="F91" s="744">
        <f>SUM(F76:F90)</f>
        <v>48.242533999999999</v>
      </c>
      <c r="G91" s="744">
        <f>SUM(G76:G90)</f>
        <v>43.328107000000003</v>
      </c>
      <c r="H91" s="590"/>
      <c r="I91"/>
      <c r="J91"/>
      <c r="K91"/>
      <c r="L91" s="447"/>
      <c r="M91" s="447"/>
    </row>
    <row r="92" spans="3:13" s="187" customFormat="1" ht="15" customHeight="1">
      <c r="C92" s="741" t="str">
        <f>IF(Indice_index!$Z$1=1,"MJ","MJ")</f>
        <v>MJ</v>
      </c>
      <c r="D92" s="737" t="str">
        <f>IF(Indice_index!$Z$1=1,"P009 - Justiça","P009 - Justice")</f>
        <v>P009 - Justice</v>
      </c>
      <c r="E92" s="738" t="str">
        <f>IF(Indice_index!$Z$1=1,"001 - Serv. Gerais da A.P. - Administração geral","001 - General public services - General Administration")</f>
        <v>001 - General public services - General Administration</v>
      </c>
      <c r="F92" s="739">
        <v>1.1169039999999999</v>
      </c>
      <c r="G92" s="739">
        <v>1.1169039999999999</v>
      </c>
      <c r="H92" s="590"/>
      <c r="I92"/>
      <c r="J92"/>
      <c r="K92"/>
      <c r="L92" s="447"/>
      <c r="M92" s="447"/>
    </row>
    <row r="93" spans="3:13" s="187" customFormat="1" ht="15" customHeight="1">
      <c r="C93" s="741"/>
      <c r="D93" s="737"/>
      <c r="E93" s="746" t="str">
        <f>IF(Indice_index!$Z$1=1,"009 - Segurança e ordem públicas - Administração e regulamentação","009 - Public safety and order - Administration and regulations")</f>
        <v>009 - Public safety and order - Administration and regulations</v>
      </c>
      <c r="F93" s="740">
        <v>15.957697</v>
      </c>
      <c r="G93" s="740">
        <v>19.203823</v>
      </c>
      <c r="H93" s="590"/>
      <c r="I93"/>
      <c r="J93"/>
      <c r="K93"/>
      <c r="L93" s="447"/>
      <c r="M93" s="447"/>
    </row>
    <row r="94" spans="3:13" s="187" customFormat="1" ht="15" customHeight="1">
      <c r="C94" s="741"/>
      <c r="D94" s="737"/>
      <c r="E94" s="746" t="str">
        <f>IF(Indice_index!$Z$1=1,"010 - Segurança e ordem públicas - Investigação","010 - Public safety and order - Research")</f>
        <v>010 - Public safety and order - Research</v>
      </c>
      <c r="F94" s="740">
        <v>2.009306</v>
      </c>
      <c r="G94" s="740">
        <v>2.009306</v>
      </c>
      <c r="H94" s="590"/>
      <c r="I94"/>
      <c r="J94"/>
      <c r="K94"/>
      <c r="L94" s="447"/>
      <c r="M94" s="447"/>
    </row>
    <row r="95" spans="3:13" s="187" customFormat="1" ht="15" customHeight="1">
      <c r="C95" s="741"/>
      <c r="D95" s="737"/>
      <c r="E95" s="746" t="str">
        <f>IF(Indice_index!$Z$1=1,"012 - Segurança e ordem públicas - Sistema judiciário","012 - Public safety and order - Judicial system")</f>
        <v>012 - Public safety and order - Judicial system</v>
      </c>
      <c r="F95" s="740">
        <v>12.964924999999999</v>
      </c>
      <c r="G95" s="740">
        <v>12.965458</v>
      </c>
      <c r="H95" s="590"/>
      <c r="I95"/>
      <c r="J95"/>
      <c r="K95"/>
      <c r="L95" s="447"/>
      <c r="M95" s="447"/>
    </row>
    <row r="96" spans="3:13" s="187" customFormat="1" ht="15" customHeight="1">
      <c r="C96" s="741"/>
      <c r="D96" s="737"/>
      <c r="E96" s="746" t="str">
        <f>IF(Indice_index!$Z$1=1,"013 - Segurança e ordem públicas - Sistema prisional, de reinserção social e de menores","013 - Public safety and order - Prison, social reintegration and of minors system")</f>
        <v>013 - Public safety and order - Prison, social reintegration and of minors system</v>
      </c>
      <c r="F96" s="740">
        <v>13.813948999999999</v>
      </c>
      <c r="G96" s="740">
        <v>13.822875</v>
      </c>
      <c r="H96" s="590"/>
      <c r="I96"/>
      <c r="J96"/>
      <c r="K96"/>
      <c r="L96" s="447"/>
      <c r="M96" s="447"/>
    </row>
    <row r="97" spans="3:13" s="187" customFormat="1" ht="15" customHeight="1">
      <c r="C97" s="741"/>
      <c r="D97" s="737"/>
      <c r="E97" s="746" t="str">
        <f>IF(Indice_index!$Z$1=1,"063 - Outras funções económicas - Administração e regulamentação","063 - Outher economic functions - Administration e regulation")</f>
        <v>063 - Outher economic functions - Administration e regulation</v>
      </c>
      <c r="F97" s="740">
        <v>1.517201</v>
      </c>
      <c r="G97" s="740">
        <v>1.517201</v>
      </c>
      <c r="H97" s="590"/>
      <c r="I97"/>
      <c r="J97"/>
      <c r="K97"/>
      <c r="L97" s="447"/>
      <c r="M97" s="447"/>
    </row>
    <row r="98" spans="3:13" s="187" customFormat="1" ht="15" customHeight="1">
      <c r="C98" s="741"/>
      <c r="D98" s="737"/>
      <c r="E98" s="746" t="str">
        <f>IF(Indice_index!$Z$1=1,"065 - Outras funções económicas - Diversas não especificadas","065 - Other economic functions - Various unspecified")</f>
        <v>065 - Other economic functions - Various unspecified</v>
      </c>
      <c r="F98" s="740">
        <v>0.36249999999999999</v>
      </c>
      <c r="G98" s="740">
        <v>0.36249999999999999</v>
      </c>
      <c r="H98" s="590"/>
      <c r="I98"/>
      <c r="J98"/>
      <c r="K98"/>
      <c r="L98" s="447"/>
      <c r="M98" s="447"/>
    </row>
    <row r="99" spans="3:13" s="187" customFormat="1" ht="15" customHeight="1">
      <c r="C99" s="741"/>
      <c r="D99" s="737"/>
      <c r="E99" s="746"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99" s="740">
        <v>4.8515000000000003E-2</v>
      </c>
      <c r="G99" s="740">
        <v>0</v>
      </c>
      <c r="H99" s="590"/>
      <c r="I99"/>
      <c r="J99"/>
      <c r="K99"/>
      <c r="L99" s="447"/>
      <c r="M99" s="447"/>
    </row>
    <row r="100" spans="3:13" s="187" customFormat="1" ht="15" customHeight="1">
      <c r="C100" s="741"/>
      <c r="D100" s="737"/>
      <c r="E100" s="746" t="str">
        <f>IF(Indice_index!$Z$1=1,"095 - Contingência Covid 2019 - Prevenção, contenção, mitigação e tratamento","095 - Covid 2019 Contingency - Prevention, Containment, Mitigation and Treatment")</f>
        <v>095 - Covid 2019 Contingency - Prevention, Containment, Mitigation and Treatment</v>
      </c>
      <c r="F100" s="740">
        <v>0.50002999999999997</v>
      </c>
      <c r="G100" s="740">
        <v>0.50002999999999997</v>
      </c>
      <c r="H100" s="590"/>
      <c r="I100"/>
      <c r="J100"/>
      <c r="K100"/>
      <c r="L100" s="447"/>
      <c r="M100" s="447"/>
    </row>
    <row r="101" spans="3:13" s="187" customFormat="1" ht="15" customHeight="1">
      <c r="C101" s="741"/>
      <c r="D101" s="737"/>
      <c r="E101" s="746" t="str">
        <f>IF(Indice_index!$Z$1=1,"096 - Contingência Covid 2019 - Garantir Normalidade","096 - Covid Contingency 2019 - Ensure Normality")</f>
        <v>096 - Covid Contingency 2019 - Ensure Normality</v>
      </c>
      <c r="F101" s="740">
        <v>0.244534</v>
      </c>
      <c r="G101" s="740">
        <v>0.245278</v>
      </c>
      <c r="H101" s="590"/>
      <c r="I101"/>
      <c r="J101"/>
      <c r="K101"/>
      <c r="L101" s="447"/>
      <c r="M101" s="447"/>
    </row>
    <row r="102" spans="3:13" s="187" customFormat="1" ht="15" customHeight="1">
      <c r="C102" s="741"/>
      <c r="D102" s="742"/>
      <c r="E102" s="748" t="str">
        <f>D92</f>
        <v>P009 - Justice</v>
      </c>
      <c r="F102" s="751">
        <f>SUM(F92:F101)</f>
        <v>48.535561000000001</v>
      </c>
      <c r="G102" s="751">
        <f>SUM(G92:G101)</f>
        <v>51.743374999999993</v>
      </c>
      <c r="H102" s="590"/>
      <c r="I102"/>
      <c r="J102"/>
      <c r="K102"/>
      <c r="L102" s="447"/>
      <c r="M102" s="447"/>
    </row>
    <row r="103" spans="3:13" s="187" customFormat="1" ht="15" customHeight="1">
      <c r="C103" s="741" t="str">
        <f>IF(Indice_index!$Z$1=1,"MC","MC")</f>
        <v>MC</v>
      </c>
      <c r="D103" s="737" t="str">
        <f>IF(Indice_index!$Z$1=1,"P012 - Cultura","P012 - Culture")</f>
        <v>P012 - Culture</v>
      </c>
      <c r="E103" s="746" t="str">
        <f>IF(Indice_index!$Z$1=1,"036 - Serviços culturais, recreativos e religiosos - Cultura","036 - Cultural, recreational and religious services - Culture")</f>
        <v>036 - Cultural, recreational and religious services - Culture</v>
      </c>
      <c r="F103" s="740">
        <v>27.048166999999999</v>
      </c>
      <c r="G103" s="740">
        <v>27.207747000000001</v>
      </c>
      <c r="H103" s="590"/>
      <c r="I103"/>
      <c r="J103"/>
      <c r="K103"/>
      <c r="L103" s="447"/>
      <c r="M103" s="447"/>
    </row>
    <row r="104" spans="3:13" s="187" customFormat="1" ht="15" customHeight="1">
      <c r="C104" s="741"/>
      <c r="D104" s="737"/>
      <c r="E104" s="738" t="str">
        <f>IF(Indice_index!$Z$1=1,"038 - Serviços culturais, recreativos e religiosos - Comunicação social","038 - Cultural, recreational and religious services - Media")</f>
        <v>038 - Cultural, recreational and religious services - Media</v>
      </c>
      <c r="F104" s="740">
        <v>20.700402</v>
      </c>
      <c r="G104" s="740">
        <v>0</v>
      </c>
      <c r="H104" s="590"/>
      <c r="I104"/>
      <c r="J104"/>
      <c r="K104"/>
      <c r="L104" s="447"/>
      <c r="M104" s="447"/>
    </row>
    <row r="105" spans="3:13" s="187" customFormat="1" ht="15" customHeight="1">
      <c r="C105" s="741"/>
      <c r="D105" s="737"/>
      <c r="E105" s="746" t="str">
        <f>IF(Indice_index!$Z$1=1,"095 - Contingência Covid 2019 - Prevenção, contenção, mitigação e tratamento","095 - Covid 2019 Contingency - Prevention, Containment, Mitigation and Treatment")</f>
        <v>095 - Covid 2019 Contingency - Prevention, Containment, Mitigation and Treatment</v>
      </c>
      <c r="F105" s="740">
        <v>0.789439</v>
      </c>
      <c r="G105" s="740">
        <v>0.789439</v>
      </c>
      <c r="H105" s="590"/>
      <c r="I105"/>
      <c r="J105"/>
      <c r="K105"/>
      <c r="L105" s="447"/>
      <c r="M105" s="447"/>
    </row>
    <row r="106" spans="3:13" s="187" customFormat="1" ht="15" customHeight="1">
      <c r="C106" s="741"/>
      <c r="D106" s="737"/>
      <c r="E106" s="746" t="str">
        <f>IF(Indice_index!$Z$1=1,"096 - Contingência Covid 2019 - Garantir Normalidade","096 - Covid Contingency 2019 - Ensure Normality")</f>
        <v>096 - Covid Contingency 2019 - Ensure Normality</v>
      </c>
      <c r="F106" s="740">
        <v>7.9231999999999997E-2</v>
      </c>
      <c r="G106" s="740">
        <v>3.1531999999999998E-2</v>
      </c>
      <c r="H106" s="590"/>
      <c r="I106"/>
      <c r="J106"/>
      <c r="K106"/>
      <c r="L106" s="447"/>
      <c r="M106" s="447"/>
    </row>
    <row r="107" spans="3:13" s="187" customFormat="1" ht="15" customHeight="1">
      <c r="C107" s="741"/>
      <c r="D107" s="757"/>
      <c r="E107" s="737" t="str">
        <f>D103</f>
        <v>P012 - Culture</v>
      </c>
      <c r="F107" s="758">
        <f>SUM(F103:F106)</f>
        <v>48.617240000000002</v>
      </c>
      <c r="G107" s="758">
        <f>SUM(G103:G106)</f>
        <v>28.028718000000001</v>
      </c>
      <c r="H107" s="590"/>
      <c r="I107"/>
      <c r="J107"/>
      <c r="K107"/>
      <c r="L107" s="447"/>
      <c r="M107" s="447"/>
    </row>
    <row r="108" spans="3:13" s="187" customFormat="1" ht="15" customHeight="1">
      <c r="C108" s="741"/>
      <c r="D108" s="748"/>
      <c r="E108" s="738" t="str">
        <f>IF(Indice_index!$Z$1=1,"P012 - Cultura, excluindo RTP","P012 - Culture, excluding RTP, the Portuguese public broadcaster")</f>
        <v>P012 - Culture, excluding RTP, the Portuguese public broadcaster</v>
      </c>
      <c r="F108" s="744">
        <v>27.869138000000003</v>
      </c>
      <c r="G108" s="744">
        <f>G107</f>
        <v>28.028718000000001</v>
      </c>
      <c r="H108" s="590"/>
      <c r="I108"/>
      <c r="J108"/>
      <c r="K108"/>
      <c r="L108" s="447"/>
      <c r="M108" s="447"/>
    </row>
    <row r="109" spans="3:13" s="187" customFormat="1" ht="15" customHeight="1">
      <c r="C109" s="741" t="str">
        <f>IF(Indice_index!$Z$1=1,"MCTES","MSHE")</f>
        <v>MSHE</v>
      </c>
      <c r="D109" s="759" t="str">
        <f>IF(Indice_index!$Z$1=1,"P013 - Ciência, Tecnologia e Ens. Superior","P013 - Science and Higher Education")</f>
        <v>P013 - Science and Higher Education</v>
      </c>
      <c r="E109" s="738" t="str">
        <f>IF(Indice_index!$Z$1=1,"001 - Serv. Gerais da A.P. - Administração geral","001 - General public services - General Administration")</f>
        <v>001 - General public services - General Administration</v>
      </c>
      <c r="F109" s="739">
        <v>0.49701000000000001</v>
      </c>
      <c r="G109" s="739">
        <v>0.49701000000000001</v>
      </c>
      <c r="H109" s="590"/>
      <c r="I109"/>
      <c r="J109"/>
      <c r="K109"/>
      <c r="L109" s="447"/>
      <c r="M109" s="447"/>
    </row>
    <row r="110" spans="3:13" s="187" customFormat="1" ht="15" customHeight="1">
      <c r="C110" s="741"/>
      <c r="D110" s="760"/>
      <c r="E110" s="746" t="str">
        <f>IF(Indice_index!$Z$1=1,"004 - Serv. Gerais da A.P. - Investigação científica de carácter geral","004 - General public services - General scientific research")</f>
        <v>004 - General public services - General scientific research</v>
      </c>
      <c r="F110" s="740">
        <v>9.9788000000000002E-2</v>
      </c>
      <c r="G110" s="740">
        <v>0.106949</v>
      </c>
      <c r="H110" s="590"/>
      <c r="I110"/>
      <c r="J110"/>
      <c r="K110"/>
      <c r="L110" s="447"/>
      <c r="M110" s="447"/>
    </row>
    <row r="111" spans="3:13" s="187" customFormat="1" ht="15" customHeight="1">
      <c r="C111" s="741"/>
      <c r="D111" s="737"/>
      <c r="E111" s="746" t="str">
        <f>IF(Indice_index!$Z$1=1,"015 - Educação - Administração e regulamentação","015 - Education - Administration and regulations")</f>
        <v>015 - Education - Administration and regulations</v>
      </c>
      <c r="F111" s="740">
        <v>0.311975</v>
      </c>
      <c r="G111" s="740">
        <v>0.31977004999999997</v>
      </c>
      <c r="H111" s="590"/>
      <c r="I111"/>
      <c r="J111"/>
      <c r="K111"/>
      <c r="L111" s="447"/>
      <c r="M111" s="447"/>
    </row>
    <row r="112" spans="3:13" s="187" customFormat="1" ht="15" customHeight="1">
      <c r="C112" s="741"/>
      <c r="D112" s="737"/>
      <c r="E112" s="746" t="str">
        <f>IF(Indice_index!$Z$1=1,"016 - Educação – Investigação","016 - Education - Research")</f>
        <v>016 - Education - Research</v>
      </c>
      <c r="F112" s="740">
        <v>4.7953999999999997E-2</v>
      </c>
      <c r="G112" s="740">
        <v>4.7953999999999997E-2</v>
      </c>
      <c r="H112" s="590"/>
      <c r="I112"/>
      <c r="J112"/>
      <c r="K112"/>
      <c r="L112" s="447"/>
      <c r="M112" s="447"/>
    </row>
    <row r="113" spans="3:13" s="187" customFormat="1" ht="15" customHeight="1">
      <c r="C113" s="741"/>
      <c r="D113" s="737"/>
      <c r="E113" s="746" t="str">
        <f>IF(Indice_index!$Z$1=1,"018 - Educação - Estabelecimentos de ensino superior","018 - Education - Higher educations institutions")</f>
        <v>018 - Education - Higher educations institutions</v>
      </c>
      <c r="F113" s="740">
        <v>9.5940000000000001E-3</v>
      </c>
      <c r="G113" s="740">
        <v>4.3656750000000001E-2</v>
      </c>
      <c r="H113" s="590"/>
      <c r="I113"/>
      <c r="J113"/>
      <c r="K113"/>
      <c r="L113" s="447"/>
      <c r="M113" s="447"/>
    </row>
    <row r="114" spans="3:13" s="187" customFormat="1" ht="15" customHeight="1">
      <c r="C114" s="741"/>
      <c r="D114" s="737"/>
      <c r="E114" s="746" t="str">
        <f>IF(Indice_index!$Z$1=1,"019 - Educação - Serviços auxiliares de ensino","019 - Education - Educational ancillary services")</f>
        <v>019 - Education - Educational ancillary services</v>
      </c>
      <c r="F114" s="740">
        <v>8.3030999999999994E-2</v>
      </c>
      <c r="G114" s="740">
        <v>8.3030999999999994E-2</v>
      </c>
      <c r="H114" s="590"/>
      <c r="I114"/>
      <c r="J114"/>
      <c r="K114"/>
      <c r="L114" s="447"/>
      <c r="M114" s="447"/>
    </row>
    <row r="115" spans="3:13" s="187" customFormat="1" ht="15" customHeight="1">
      <c r="C115" s="741"/>
      <c r="D115" s="737"/>
      <c r="E115" s="746" t="str">
        <f>IF(Indice_index!$Z$1=1,"095 - Contingência Covid 2019 - Prevenção, contenção, mitigação e tratamento","095 - Covid 2019 Contingency - Prevention, Containment, Mitigation and Treatment")</f>
        <v>095 - Covid 2019 Contingency - Prevention, Containment, Mitigation and Treatment</v>
      </c>
      <c r="F115" s="740">
        <v>5.1180000000000003E-2</v>
      </c>
      <c r="G115" s="740">
        <v>5.1180000000000003E-2</v>
      </c>
      <c r="H115" s="590"/>
      <c r="I115"/>
      <c r="J115"/>
      <c r="K115"/>
      <c r="L115" s="447"/>
      <c r="M115" s="447"/>
    </row>
    <row r="116" spans="3:13" s="187" customFormat="1" ht="15" customHeight="1">
      <c r="C116" s="741"/>
      <c r="D116" s="737"/>
      <c r="E116" s="746" t="str">
        <f>IF(Indice_index!$Z$1=1,"096 - Contingência Covid 2019 - Garantir Normalidade","096 - Covid Contingency 2019 - Ensure Normality")</f>
        <v>096 - Covid Contingency 2019 - Ensure Normality</v>
      </c>
      <c r="F116" s="740">
        <v>2.6849999999999999E-3</v>
      </c>
      <c r="G116" s="740">
        <v>2.6849999999999999E-3</v>
      </c>
      <c r="H116" s="590"/>
      <c r="I116"/>
      <c r="J116"/>
      <c r="K116"/>
      <c r="L116" s="447"/>
      <c r="M116" s="447"/>
    </row>
    <row r="117" spans="3:13" s="187" customFormat="1" ht="15" customHeight="1">
      <c r="C117" s="741"/>
      <c r="D117" s="757"/>
      <c r="E117" s="737" t="str">
        <f>D109</f>
        <v>P013 - Science and Higher Education</v>
      </c>
      <c r="F117" s="761">
        <f>SUM(F109:F116)</f>
        <v>1.1032170000000001</v>
      </c>
      <c r="G117" s="761">
        <f t="shared" ref="G117" si="1">SUM(G109:G116)</f>
        <v>1.1522358000000001</v>
      </c>
      <c r="H117" s="590"/>
      <c r="I117"/>
      <c r="J117"/>
      <c r="K117"/>
      <c r="L117" s="447"/>
      <c r="M117" s="447"/>
    </row>
    <row r="118" spans="3:13" s="187" customFormat="1" ht="15" customHeight="1">
      <c r="C118" s="741"/>
      <c r="D118" s="748"/>
      <c r="E118" s="738" t="str">
        <f>IF(Indice_index!$Z$1=1,"Instituições de Ensino Superior","Higher Education Institutions")</f>
        <v>Higher Education Institutions</v>
      </c>
      <c r="F118" s="744">
        <v>0</v>
      </c>
      <c r="G118" s="744">
        <v>0</v>
      </c>
      <c r="H118" s="590"/>
      <c r="I118"/>
      <c r="J118"/>
      <c r="K118"/>
      <c r="L118" s="447"/>
      <c r="M118" s="447"/>
    </row>
    <row r="119" spans="3:13" s="187" customFormat="1" ht="15" customHeight="1">
      <c r="C119" s="741" t="str">
        <f>IF(Indice_index!$Z$1=1,"MEd","MEd")</f>
        <v>MEd</v>
      </c>
      <c r="D119" s="759" t="str">
        <f>IF(Indice_index!$Z$1=1,"P014 - Ensino Básico e Secundário e Adm. Escolar","P014 - Basic and Secondary Education and School Administration")</f>
        <v>P014 - Basic and Secondary Education and School Administration</v>
      </c>
      <c r="E119" s="738" t="str">
        <f>IF(Indice_index!$Z$1=1,"003 - Serv. Gerais da A.P. - Cooperação económica externa","003 - General public services - External economic cooperation")</f>
        <v>003 - General public services - External economic cooperation</v>
      </c>
      <c r="F119" s="739">
        <v>0.62456800000000001</v>
      </c>
      <c r="G119" s="739">
        <v>0.62456800000000001</v>
      </c>
      <c r="H119" s="590"/>
      <c r="I119"/>
      <c r="J119"/>
      <c r="K119"/>
      <c r="L119" s="447"/>
      <c r="M119" s="447"/>
    </row>
    <row r="120" spans="3:13" s="187" customFormat="1" ht="15" customHeight="1">
      <c r="C120" s="741"/>
      <c r="D120" s="760"/>
      <c r="E120" s="746" t="str">
        <f>IF(Indice_index!$Z$1=1,"015 - Educação - Administração e regulamentação","015 - Education - Administration and regulations")</f>
        <v>015 - Education - Administration and regulations</v>
      </c>
      <c r="F120" s="740">
        <v>12.099042000000001</v>
      </c>
      <c r="G120" s="740">
        <v>11.0396369</v>
      </c>
      <c r="H120" s="590"/>
      <c r="I120"/>
      <c r="J120"/>
      <c r="K120"/>
      <c r="L120" s="447"/>
      <c r="M120" s="447"/>
    </row>
    <row r="121" spans="3:13" s="187" customFormat="1" ht="15" customHeight="1">
      <c r="C121" s="741"/>
      <c r="D121" s="737"/>
      <c r="E121" s="746" t="str">
        <f>IF(Indice_index!$Z$1=1,"017 - Educação - Estabelecimentos de ensino não superior","017 - Education - Non higher educations institutions")</f>
        <v>017 - Education - Non higher educations institutions</v>
      </c>
      <c r="F121" s="740">
        <v>9.8319600000000005</v>
      </c>
      <c r="G121" s="740">
        <v>9.8565640000000005</v>
      </c>
      <c r="H121" s="590"/>
      <c r="I121"/>
      <c r="J121"/>
      <c r="K121"/>
      <c r="L121" s="447"/>
      <c r="M121" s="447"/>
    </row>
    <row r="122" spans="3:13" s="187" customFormat="1" ht="15" customHeight="1">
      <c r="C122" s="741"/>
      <c r="D122" s="737"/>
      <c r="E122" s="746" t="str">
        <f>IF(Indice_index!$Z$1=1,"019 - Educação - Serviços auxiliares de ensino","019 - Education - Educational ancillary services")</f>
        <v>019 - Education - Educational ancillary services</v>
      </c>
      <c r="F122" s="740">
        <v>5.8192950000000003</v>
      </c>
      <c r="G122" s="740">
        <v>5.8192950000000003</v>
      </c>
      <c r="H122" s="590"/>
      <c r="I122"/>
      <c r="J122"/>
      <c r="K122"/>
      <c r="L122" s="447"/>
      <c r="M122" s="447"/>
    </row>
    <row r="123" spans="3:13" s="187" customFormat="1" ht="15" customHeight="1">
      <c r="C123" s="741"/>
      <c r="D123" s="737"/>
      <c r="E123" s="746" t="str">
        <f>IF(Indice_index!$Z$1=1,"037 - Serviços culturais, recreativos e religiosos - Desporto, recreio e lazer","037 - Cultural, recreational and religious services - Sports, recreation and leisure")</f>
        <v>037 - Cultural, recreational and religious services - Sports, recreation and leisure</v>
      </c>
      <c r="F123" s="740">
        <v>0.76096299999999995</v>
      </c>
      <c r="G123" s="740">
        <v>0.71783710000000001</v>
      </c>
      <c r="H123" s="590"/>
      <c r="I123"/>
      <c r="J123"/>
      <c r="K123"/>
      <c r="L123" s="447"/>
      <c r="M123" s="447"/>
    </row>
    <row r="124" spans="3:13" s="187" customFormat="1" ht="15" customHeight="1">
      <c r="C124" s="741"/>
      <c r="D124" s="737"/>
      <c r="E124" s="746" t="str">
        <f>IF(Indice_index!$Z$1=1,"095 - Contingência Covid 2019 - Prevenção, contenção, mitigação e tratamento","095 - Covid 2019 Contingency - Prevention, Containment, Mitigation and Treatment")</f>
        <v>095 - Covid 2019 Contingency - Prevention, Containment, Mitigation and Treatment</v>
      </c>
      <c r="F124" s="740">
        <v>6.2259000000000002E-2</v>
      </c>
      <c r="G124" s="740">
        <v>6.1509000000000001E-2</v>
      </c>
      <c r="H124" s="590"/>
      <c r="I124"/>
      <c r="J124"/>
      <c r="K124"/>
      <c r="L124" s="447"/>
      <c r="M124" s="447"/>
    </row>
    <row r="125" spans="3:13" s="187" customFormat="1" ht="15" customHeight="1">
      <c r="C125" s="741"/>
      <c r="D125" s="737"/>
      <c r="E125" s="746" t="str">
        <f>IF(Indice_index!$Z$1=1,"096 - Contingência Covid 2019 - Garantir Normalidade","096 - Covid Contingency 2019 - Ensure Normality")</f>
        <v>096 - Covid Contingency 2019 - Ensure Normality</v>
      </c>
      <c r="F125" s="740">
        <v>8.5679999999999992E-3</v>
      </c>
      <c r="G125" s="740">
        <v>7.8180000000000003E-3</v>
      </c>
      <c r="H125" s="590"/>
      <c r="I125"/>
      <c r="J125"/>
      <c r="K125"/>
      <c r="L125" s="447"/>
      <c r="M125" s="447"/>
    </row>
    <row r="126" spans="3:13" s="187" customFormat="1" ht="15" customHeight="1">
      <c r="C126" s="741"/>
      <c r="D126" s="757"/>
      <c r="E126" s="737" t="str">
        <f>D119</f>
        <v>P014 - Basic and Secondary Education and School Administration</v>
      </c>
      <c r="F126" s="758">
        <f>SUM(F119:F125)</f>
        <v>29.206655000000005</v>
      </c>
      <c r="G126" s="758">
        <f>SUM(G119:G125)</f>
        <v>28.127228000000002</v>
      </c>
      <c r="H126" s="590"/>
      <c r="I126"/>
      <c r="J126"/>
      <c r="K126"/>
      <c r="L126" s="447"/>
      <c r="M126" s="447"/>
    </row>
    <row r="127" spans="3:13" s="187" customFormat="1" ht="15" customHeight="1">
      <c r="C127" s="741"/>
      <c r="D127" s="748"/>
      <c r="E127" s="738" t="str">
        <f>IF(Indice_index!$Z$1=1,"Estabelecimentos de Educação e Ensino Básico e Secundário","Education establishments and primary and secondary education")</f>
        <v>Education establishments and primary and secondary education</v>
      </c>
      <c r="F127" s="744">
        <v>0</v>
      </c>
      <c r="G127" s="744">
        <v>0</v>
      </c>
      <c r="H127" s="590"/>
      <c r="I127"/>
      <c r="J127"/>
      <c r="K127"/>
      <c r="L127" s="447"/>
      <c r="M127" s="447"/>
    </row>
    <row r="128" spans="3:13" s="187" customFormat="1" ht="15" customHeight="1">
      <c r="C128" s="741" t="str">
        <f>IF(Indice_index!$Z$1=1,"MTSSS","MLSSF")</f>
        <v>MLSSF</v>
      </c>
      <c r="D128" s="759" t="str">
        <f>IF(Indice_index!$Z$1=1,"P015 - Trabalho, Solidariedade e Seg. Social","P015 - Work, Solidarity and Social Security")</f>
        <v>P015 - Work, Solidarity and Social Security</v>
      </c>
      <c r="E128" s="738" t="str">
        <f>IF(Indice_index!$Z$1=1,"001 - Serv. Gerais da A.P. - Administração geral","001 - General public services - General Administration")</f>
        <v>001 - General public services - General Administration</v>
      </c>
      <c r="F128" s="739">
        <v>5.3149000000000002E-2</v>
      </c>
      <c r="G128" s="739">
        <v>5.3149000000000002E-2</v>
      </c>
      <c r="H128" s="590"/>
      <c r="I128"/>
      <c r="J128"/>
      <c r="K128"/>
      <c r="L128" s="447"/>
      <c r="M128" s="447"/>
    </row>
    <row r="129" spans="3:13" s="187" customFormat="1" ht="15" customHeight="1">
      <c r="C129" s="741"/>
      <c r="D129" s="760"/>
      <c r="E129" s="746" t="str">
        <f>IF(Indice_index!$Z$1=1,"003 - Serv. Gerais da A.P. - Cooperação económica externa","003 - General public services - External economic cooperation")</f>
        <v>003 - General public services - External economic cooperation</v>
      </c>
      <c r="F129" s="740">
        <v>0.33606799999999998</v>
      </c>
      <c r="G129" s="740">
        <v>0.33606799999999998</v>
      </c>
      <c r="H129" s="590"/>
      <c r="I129"/>
      <c r="J129"/>
      <c r="K129"/>
      <c r="L129" s="447"/>
      <c r="M129" s="447"/>
    </row>
    <row r="130" spans="3:13" s="187" customFormat="1" ht="15" customHeight="1">
      <c r="C130" s="741"/>
      <c r="D130" s="737"/>
      <c r="E130" s="746" t="str">
        <f>IF(Indice_index!$Z$1=1,"024 - Segurança e acção social - Administração e regulamentação","024 - Social Security and Action - Administration and regulations")</f>
        <v>024 - Social Security and Action - Administration and regulations</v>
      </c>
      <c r="F130" s="740">
        <v>0.59371700000000005</v>
      </c>
      <c r="G130" s="740">
        <v>0.59371700000000005</v>
      </c>
      <c r="H130" s="590"/>
      <c r="I130"/>
      <c r="J130"/>
      <c r="K130"/>
      <c r="L130" s="447"/>
      <c r="M130" s="447"/>
    </row>
    <row r="131" spans="3:13" s="187" customFormat="1" ht="15" customHeight="1">
      <c r="C131" s="741"/>
      <c r="D131" s="737"/>
      <c r="E131" s="746" t="str">
        <f>IF(Indice_index!$Z$1=1,"026 - Segurança e acção social - Segurança social","026 - Social Security and Action - Social Security")</f>
        <v>026 - Social Security and Action - Social Security</v>
      </c>
      <c r="F131" s="740">
        <v>9.3975220000000004</v>
      </c>
      <c r="G131" s="740">
        <v>9.3975220000000004</v>
      </c>
      <c r="H131" s="590"/>
      <c r="I131"/>
      <c r="J131"/>
      <c r="K131"/>
      <c r="L131" s="447"/>
      <c r="M131" s="447"/>
    </row>
    <row r="132" spans="3:13" s="187" customFormat="1" ht="15" customHeight="1">
      <c r="C132" s="741"/>
      <c r="D132" s="737"/>
      <c r="E132" s="746" t="str">
        <f>IF(Indice_index!$Z$1=1,"027 - Segurança e acção social - Acção social","027 - Social Security and Action - Social Action")</f>
        <v>027 - Social Security and Action - Social Action</v>
      </c>
      <c r="F132" s="740">
        <v>16.982510999999999</v>
      </c>
      <c r="G132" s="740">
        <v>16.982510999999999</v>
      </c>
      <c r="H132" s="590"/>
      <c r="I132"/>
      <c r="J132"/>
      <c r="K132"/>
      <c r="L132" s="447"/>
      <c r="M132" s="447"/>
    </row>
    <row r="133" spans="3:13" s="187" customFormat="1" ht="15" customHeight="1">
      <c r="C133" s="741"/>
      <c r="D133" s="737"/>
      <c r="E133" s="746" t="str">
        <f>IF(Indice_index!$Z$1=1,"064 - Outras funções económicas - Relações gerais do trabalho","064 - Other economic functions - General labor relations")</f>
        <v>064 - Other economic functions - General labor relations</v>
      </c>
      <c r="F133" s="740">
        <v>14.359382</v>
      </c>
      <c r="G133" s="740">
        <v>14.4300765</v>
      </c>
      <c r="H133" s="590"/>
      <c r="I133"/>
      <c r="J133"/>
      <c r="K133"/>
      <c r="L133" s="447"/>
      <c r="M133" s="447"/>
    </row>
    <row r="134" spans="3:13" s="187" customFormat="1" ht="15" customHeight="1">
      <c r="C134" s="741"/>
      <c r="D134" s="737"/>
      <c r="E134" s="746" t="str">
        <f>IF(Indice_index!$Z$1=1,"065 - Outras funções económicas - Diversas não especificadas","065 - Other economic functions - Various unspecified")</f>
        <v>065 - Other economic functions - Various unspecified</v>
      </c>
      <c r="F134" s="740">
        <v>0.14274500000000001</v>
      </c>
      <c r="G134" s="740">
        <v>0.160972</v>
      </c>
      <c r="H134" s="590"/>
      <c r="I134"/>
      <c r="J134"/>
      <c r="K134"/>
      <c r="L134" s="447"/>
      <c r="M134" s="447"/>
    </row>
    <row r="135" spans="3:13" s="187" customFormat="1" ht="15" customHeight="1">
      <c r="C135" s="741"/>
      <c r="D135" s="737"/>
      <c r="E135" s="746" t="str">
        <f>IF(Indice_index!$Z$1=1,"082 - Segurança e Ação Social - Violência doméstica - Prevenção e proteção à vítima","082 - Social Security and Action - domestic violence - Prevention and protection to victims")</f>
        <v>082 - Social Security and Action - domestic violence - Prevention and protection to victims</v>
      </c>
      <c r="F135" s="740">
        <v>0.12621399999999999</v>
      </c>
      <c r="G135" s="740">
        <v>0</v>
      </c>
      <c r="H135" s="590"/>
      <c r="I135"/>
      <c r="J135"/>
      <c r="K135"/>
      <c r="L135" s="447"/>
      <c r="M135" s="447"/>
    </row>
    <row r="136" spans="3:13" s="187" customFormat="1" ht="15" customHeight="1">
      <c r="C136" s="741"/>
      <c r="D136" s="737"/>
      <c r="E136" s="746" t="str">
        <f>IF(Indice_index!$Z$1=1,"083 - Segurança e Ação Social - Integração da pessoa com deficiência","083 - Social Security and Action - Integration of the handicapped person")</f>
        <v>083 - Social Security and Action - Integration of the handicapped person</v>
      </c>
      <c r="F136" s="740">
        <v>0.36926199999999998</v>
      </c>
      <c r="G136" s="740">
        <v>0.42693599999999998</v>
      </c>
      <c r="H136" s="590"/>
      <c r="I136"/>
      <c r="J136"/>
      <c r="K136"/>
      <c r="L136" s="447"/>
      <c r="M136" s="447"/>
    </row>
    <row r="137" spans="3:13" s="187" customFormat="1" ht="15" customHeight="1">
      <c r="C137" s="741"/>
      <c r="D137" s="737"/>
      <c r="E137" s="746" t="str">
        <f>IF(Indice_index!$Z$1=1,"095 - Contingência Covid 2019 - Prevenção, contenção, mitigação e tratamento","095 - Covid 2019 Contingency - Prevention, Containment, Mitigation and Treatment")</f>
        <v>095 - Covid 2019 Contingency - Prevention, Containment, Mitigation and Treatment</v>
      </c>
      <c r="F137" s="740">
        <v>2.1504810000000001</v>
      </c>
      <c r="G137" s="740">
        <v>2.1513629999999999</v>
      </c>
      <c r="H137" s="590"/>
      <c r="I137"/>
      <c r="J137"/>
      <c r="K137"/>
      <c r="L137" s="447"/>
      <c r="M137" s="447"/>
    </row>
    <row r="138" spans="3:13" s="187" customFormat="1" ht="15" customHeight="1">
      <c r="C138" s="741"/>
      <c r="D138" s="737"/>
      <c r="E138" s="746" t="str">
        <f>IF(Indice_index!$Z$1=1,"096 - Contingência Covid 2019 - Garantir Normalidade","096 - Covid Contingency 2019 - Ensure Normality")</f>
        <v>096 - Covid Contingency 2019 - Ensure Normality</v>
      </c>
      <c r="F138" s="740">
        <v>0.182505</v>
      </c>
      <c r="G138" s="740">
        <v>0.182505</v>
      </c>
      <c r="H138" s="590"/>
      <c r="I138"/>
      <c r="J138"/>
      <c r="K138"/>
      <c r="L138" s="447"/>
      <c r="M138" s="447"/>
    </row>
    <row r="139" spans="3:13" s="187" customFormat="1" ht="15" customHeight="1">
      <c r="C139" s="741"/>
      <c r="D139" s="742"/>
      <c r="E139" s="748" t="str">
        <f>D128</f>
        <v>P015 - Work, Solidarity and Social Security</v>
      </c>
      <c r="F139" s="751">
        <f>SUM(F128:F138)</f>
        <v>44.693555999999987</v>
      </c>
      <c r="G139" s="751">
        <f>SUM(G128:G138)</f>
        <v>44.714819499999997</v>
      </c>
      <c r="H139" s="590"/>
      <c r="I139"/>
      <c r="J139"/>
      <c r="K139"/>
      <c r="L139" s="447"/>
      <c r="M139" s="447"/>
    </row>
    <row r="140" spans="3:13" s="187" customFormat="1" ht="15" customHeight="1">
      <c r="C140" s="741" t="str">
        <f>IF(Indice_index!$Z$1=1,"MS","MH")</f>
        <v>MH</v>
      </c>
      <c r="D140" s="737" t="str">
        <f>IF(Indice_index!$Z$1=1,"P016 - Saúde","P016 - Health")</f>
        <v>P016 - Health</v>
      </c>
      <c r="E140" s="738" t="str">
        <f>IF(Indice_index!$Z$1=1,"020 - Saúde - Administração e regulamentação","020 - Health - Administration and regulations")</f>
        <v>020 - Health - Administration and regulations</v>
      </c>
      <c r="F140" s="739">
        <v>0.64958199999999999</v>
      </c>
      <c r="G140" s="739">
        <v>0.74858199999999997</v>
      </c>
      <c r="H140" s="590"/>
      <c r="I140"/>
      <c r="J140"/>
      <c r="K140"/>
      <c r="L140" s="447"/>
      <c r="M140" s="447"/>
    </row>
    <row r="141" spans="3:13" s="187" customFormat="1" ht="15" customHeight="1">
      <c r="C141" s="741"/>
      <c r="D141" s="741"/>
      <c r="E141" s="746" t="str">
        <f>IF(Indice_index!$Z$1=1,"095 - Contingência Covid 2019 - Prevenção, contenção, mitigação e tratamento","095 - Covid 2019 Contingency - Prevention, Containment, Mitigation and Treatment")</f>
        <v>095 - Covid 2019 Contingency - Prevention, Containment, Mitigation and Treatment</v>
      </c>
      <c r="F141" s="740">
        <v>7.0829999999999999E-3</v>
      </c>
      <c r="G141" s="740">
        <v>7.0829999999999999E-3</v>
      </c>
      <c r="H141" s="590"/>
      <c r="I141"/>
      <c r="J141"/>
      <c r="K141"/>
      <c r="L141" s="447"/>
      <c r="M141" s="447"/>
    </row>
    <row r="142" spans="3:13" s="187" customFormat="1" ht="15" customHeight="1">
      <c r="C142" s="741"/>
      <c r="D142" s="737"/>
      <c r="E142" s="746" t="str">
        <f>IF(Indice_index!$Z$1=1,"096 - Contingência Covid 2019 - Garantir Normalidade","096 - Covid Contingency 2019 - Ensure Normality")</f>
        <v>096 - Covid Contingency 2019 - Ensure Normality</v>
      </c>
      <c r="F142" s="740">
        <v>6.5899999999999997E-4</v>
      </c>
      <c r="G142" s="740">
        <v>6.5899999999999997E-4</v>
      </c>
      <c r="H142" s="590"/>
      <c r="I142"/>
      <c r="J142"/>
      <c r="K142"/>
      <c r="L142" s="447"/>
      <c r="M142" s="447"/>
    </row>
    <row r="143" spans="3:13" s="187" customFormat="1" ht="15" customHeight="1">
      <c r="C143" s="741"/>
      <c r="D143" s="757"/>
      <c r="E143" s="737" t="str">
        <f>D140</f>
        <v>P016 - Health</v>
      </c>
      <c r="F143" s="758">
        <f>SUM(F140:F142)</f>
        <v>0.65732399999999991</v>
      </c>
      <c r="G143" s="758">
        <f t="shared" ref="G143" si="2">SUM(G140:G142)</f>
        <v>0.75632399999999989</v>
      </c>
      <c r="H143" s="590"/>
      <c r="I143"/>
      <c r="J143"/>
      <c r="K143"/>
      <c r="L143" s="447"/>
      <c r="M143" s="447"/>
    </row>
    <row r="144" spans="3:13" s="187" customFormat="1" ht="15" customHeight="1">
      <c r="C144" s="741"/>
      <c r="D144" s="748"/>
      <c r="E144" s="738" t="str">
        <f>IF(Indice_index!$Z$1=1,"Serviço Nacional de Saúde","National Health Service")</f>
        <v>National Health Service</v>
      </c>
      <c r="F144" s="744">
        <v>0</v>
      </c>
      <c r="G144" s="744">
        <v>0</v>
      </c>
      <c r="H144" s="590"/>
      <c r="I144"/>
      <c r="J144"/>
      <c r="K144"/>
      <c r="L144" s="447"/>
      <c r="M144" s="447"/>
    </row>
    <row r="145" spans="3:13" s="187" customFormat="1" ht="15" customHeight="1">
      <c r="C145" s="741" t="str">
        <f>IF(Indice_index!$Z$1=1,"MAAC","MECA")</f>
        <v>MECA</v>
      </c>
      <c r="D145" s="741" t="str">
        <f>IF(Indice_index!$Z$1=1,"P017 - Ambiente e Ação Climática","P017 -  Environment and Climate Action")</f>
        <v>P017 -  Environment and Climate Action</v>
      </c>
      <c r="E145" s="746" t="str">
        <f>IF(Indice_index!$Z$1=1,"031 - Habitação e serv. Colectivos - Ordenamento do território","031 - Housing and Common services - Land-use")</f>
        <v>031 - Housing and Common services - Land-use</v>
      </c>
      <c r="F145" s="740">
        <v>0.93306199999999995</v>
      </c>
      <c r="G145" s="740">
        <v>0.94142000000000003</v>
      </c>
      <c r="H145" s="590"/>
      <c r="I145"/>
      <c r="J145"/>
      <c r="K145"/>
      <c r="L145" s="447"/>
      <c r="M145" s="447"/>
    </row>
    <row r="146" spans="3:13" s="187" customFormat="1" ht="15" customHeight="1">
      <c r="C146" s="741"/>
      <c r="D146" s="741"/>
      <c r="E146" s="746" t="str">
        <f>IF(Indice_index!$Z$1=1,"033 - Habitação e serv. Colectivos - Protecção do meio ambiente e conservação da natureza","033 - Housing and Common services - Protection of the Environment and conservation of nature")</f>
        <v>033 - Housing and Common services - Protection of the Environment and conservation of nature</v>
      </c>
      <c r="F146" s="740">
        <v>12.671352000000001</v>
      </c>
      <c r="G146" s="740">
        <v>12.671352000000001</v>
      </c>
      <c r="H146" s="590"/>
      <c r="I146"/>
      <c r="J146"/>
      <c r="K146"/>
      <c r="L146" s="447"/>
      <c r="M146" s="447"/>
    </row>
    <row r="147" spans="3:13" s="187" customFormat="1" ht="15" customHeight="1">
      <c r="C147" s="741"/>
      <c r="D147" s="737"/>
      <c r="E147" s="746" t="str">
        <f>IF(Indice_index!$Z$1=1,"043 - Agricultura, pecuária, silv, caça, pesca - Silvicultura","043 - Crops, livestock, forestry, fisheries - Forestry")</f>
        <v>043 - Crops, livestock, forestry, fisheries - Forestry</v>
      </c>
      <c r="F147" s="740">
        <v>5.4694180000000001</v>
      </c>
      <c r="G147" s="740">
        <v>5.4694180000000001</v>
      </c>
      <c r="H147" s="590"/>
      <c r="I147"/>
      <c r="J147"/>
      <c r="K147"/>
      <c r="L147" s="447"/>
      <c r="M147" s="447"/>
    </row>
    <row r="148" spans="3:13" s="187" customFormat="1" ht="15" customHeight="1">
      <c r="C148" s="741"/>
      <c r="D148" s="737"/>
      <c r="E148" s="746" t="str">
        <f>IF(Indice_index!$Z$1=1,"046 - Industria e energia - administração e regulamentação","046 - Industry and energy - Administration and regulations")</f>
        <v>046 - Industry and energy - Administration and regulations</v>
      </c>
      <c r="F148" s="740">
        <v>2.898711</v>
      </c>
      <c r="G148" s="740">
        <v>3.070465</v>
      </c>
      <c r="H148" s="590"/>
      <c r="I148"/>
      <c r="J148"/>
      <c r="K148"/>
      <c r="L148" s="447"/>
      <c r="M148" s="447"/>
    </row>
    <row r="149" spans="3:13" s="187" customFormat="1" ht="15" customHeight="1">
      <c r="C149" s="741"/>
      <c r="D149" s="737"/>
      <c r="E149" s="746" t="str">
        <f>IF(Indice_index!$Z$1=1,"047 - Industria e energia - Investigação","047 - Industry and energy - Research")</f>
        <v>047 - Industry and energy - Research</v>
      </c>
      <c r="F149" s="740">
        <v>1.3555600000000001</v>
      </c>
      <c r="G149" s="740">
        <v>1.3555600000000001</v>
      </c>
      <c r="H149" s="590"/>
      <c r="I149"/>
      <c r="J149"/>
      <c r="K149"/>
      <c r="L149" s="447"/>
      <c r="M149" s="447"/>
    </row>
    <row r="150" spans="3:13" s="187" customFormat="1" ht="15" customHeight="1">
      <c r="C150" s="741"/>
      <c r="D150" s="737"/>
      <c r="E150" s="746" t="str">
        <f>IF(Indice_index!$Z$1=1,"051 - Industria e energia - Combustíveis, electricidade e outras fontes de energia","051 - Industry e energy - Fuel, electricity and other sources of energy ")</f>
        <v xml:space="preserve">051 - Industry e energy - Fuel, electricity and other sources of energy </v>
      </c>
      <c r="F150" s="740">
        <v>5.8749320000000003</v>
      </c>
      <c r="G150" s="740">
        <v>5.8749320000000003</v>
      </c>
      <c r="H150" s="590"/>
      <c r="I150"/>
      <c r="J150"/>
      <c r="K150"/>
      <c r="L150" s="447"/>
      <c r="M150" s="447"/>
    </row>
    <row r="151" spans="3:13" s="187" customFormat="1" ht="15" customHeight="1">
      <c r="C151" s="741"/>
      <c r="D151" s="737"/>
      <c r="E151" s="746" t="str">
        <f>IF(Indice_index!$Z$1=1,"055 - Transportes e comunicações - Transportes ferroviários","055 - Transport and Communications - Rail transport")</f>
        <v>055 - Transport and Communications - Rail transport</v>
      </c>
      <c r="F151" s="740">
        <v>22.078951</v>
      </c>
      <c r="G151" s="740">
        <v>22.078951</v>
      </c>
      <c r="H151" s="590"/>
      <c r="I151"/>
      <c r="J151"/>
      <c r="K151"/>
      <c r="L151" s="447"/>
      <c r="M151" s="447"/>
    </row>
    <row r="152" spans="3:13" s="187" customFormat="1" ht="15" customHeight="1">
      <c r="C152" s="741"/>
      <c r="D152" s="737"/>
      <c r="E152" s="746" t="str">
        <f>IF(Indice_index!$Z$1=1,"057 - Transportes e comunicações - Transportes marítimos e fluviais","057 - Transport and Communications - Water transport")</f>
        <v>057 - Transport and Communications - Water transport</v>
      </c>
      <c r="F152" s="740">
        <v>7.2330199999999998</v>
      </c>
      <c r="G152" s="740">
        <v>7.2330199999999998</v>
      </c>
      <c r="H152" s="590"/>
      <c r="I152"/>
      <c r="J152"/>
      <c r="K152"/>
      <c r="L152" s="447"/>
      <c r="M152" s="447"/>
    </row>
    <row r="153" spans="3:13" s="187" customFormat="1" ht="15" customHeight="1">
      <c r="C153" s="741"/>
      <c r="D153" s="737"/>
      <c r="E153" s="746" t="str">
        <f>IF(Indice_index!$Z$1=1,"063 - Outras funções económicas - Administração e regulamentação","063 - Outher economic functions - Administration e regulation")</f>
        <v>063 - Outher economic functions - Administration e regulation</v>
      </c>
      <c r="F153" s="740">
        <v>4.0650839999999997</v>
      </c>
      <c r="G153" s="740">
        <v>4.6712239999999996</v>
      </c>
      <c r="H153" s="590"/>
      <c r="I153"/>
      <c r="J153"/>
      <c r="K153"/>
      <c r="L153" s="447"/>
      <c r="M153" s="447"/>
    </row>
    <row r="154" spans="3:13" s="187" customFormat="1" ht="15" customHeight="1">
      <c r="C154" s="741"/>
      <c r="D154" s="737"/>
      <c r="E154" s="746" t="str">
        <f>IF(Indice_index!$Z$1=1,"065 - Outras funções económicas - Diversas não especificadas","065 - Other economic functions - Various unspecified")</f>
        <v>065 - Other economic functions - Various unspecified</v>
      </c>
      <c r="F154" s="739">
        <v>1.6000000000000001E-4</v>
      </c>
      <c r="G154" s="739">
        <v>1.6000000000000001E-4</v>
      </c>
      <c r="H154" s="590"/>
      <c r="I154"/>
      <c r="J154"/>
      <c r="K154"/>
      <c r="L154" s="447"/>
      <c r="M154" s="447"/>
    </row>
    <row r="155" spans="3:13" s="187" customFormat="1" ht="15" customHeight="1">
      <c r="C155" s="741"/>
      <c r="D155" s="737"/>
      <c r="E155" s="746" t="str">
        <f>IF(Indice_index!$Z$1=1,"095 - Contingência Covid 2019 - Prevenção, contenção, mitigação e tratamento","095 - Covid 2019 Contingency - Prevention, Containment, Mitigation and Treatment")</f>
        <v>095 - Covid 2019 Contingency - Prevention, Containment, Mitigation and Treatment</v>
      </c>
      <c r="F155" s="740">
        <v>2.5655000000000001E-2</v>
      </c>
      <c r="G155" s="740">
        <v>2.5655000000000001E-2</v>
      </c>
      <c r="H155" s="590"/>
      <c r="I155"/>
      <c r="J155"/>
      <c r="K155"/>
      <c r="L155" s="447"/>
      <c r="M155" s="447"/>
    </row>
    <row r="156" spans="3:13" s="187" customFormat="1" ht="15" customHeight="1">
      <c r="C156" s="741"/>
      <c r="D156" s="737"/>
      <c r="E156" s="738" t="str">
        <f>IF(Indice_index!$Z$1=1,"096 - Contingência Covid 2019 - Garantir Normalidade","096 - Covid Contingency 2019 - Ensure Normality")</f>
        <v>096 - Covid Contingency 2019 - Ensure Normality</v>
      </c>
      <c r="F156" s="739">
        <v>0.52321499999999999</v>
      </c>
      <c r="G156" s="739">
        <v>0.52321499999999999</v>
      </c>
      <c r="H156" s="590"/>
      <c r="I156"/>
      <c r="J156"/>
      <c r="K156"/>
      <c r="L156" s="447"/>
      <c r="M156" s="447"/>
    </row>
    <row r="157" spans="3:13" s="187" customFormat="1" ht="15" customHeight="1">
      <c r="C157" s="741"/>
      <c r="D157" s="737"/>
      <c r="E157" s="738" t="str">
        <f>IF(Indice_index!$Z$1=1,"101 - Plano Nacional de Gestão Integrada de Fogos Rurais","101 - National Plan on Integrated Rural Fire Management")</f>
        <v>101 - National Plan on Integrated Rural Fire Management</v>
      </c>
      <c r="F157" s="739">
        <v>0</v>
      </c>
      <c r="G157" s="739">
        <v>0.36249999999999999</v>
      </c>
      <c r="H157" s="590"/>
      <c r="I157"/>
      <c r="J157"/>
      <c r="K157"/>
      <c r="L157" s="447"/>
      <c r="M157" s="447"/>
    </row>
    <row r="158" spans="3:13" s="187" customFormat="1" ht="15" customHeight="1">
      <c r="C158" s="741"/>
      <c r="D158" s="742"/>
      <c r="E158" s="748" t="str">
        <f>D145</f>
        <v>P017 -  Environment and Climate Action</v>
      </c>
      <c r="F158" s="744">
        <f>SUM(F145:F157)</f>
        <v>63.12912</v>
      </c>
      <c r="G158" s="744">
        <f>SUM(G145:G157)</f>
        <v>64.277872000000002</v>
      </c>
      <c r="H158" s="590"/>
      <c r="I158"/>
      <c r="J158"/>
      <c r="K158"/>
      <c r="L158" s="447"/>
      <c r="M158" s="447"/>
    </row>
    <row r="159" spans="3:13" s="187" customFormat="1" ht="15" customHeight="1">
      <c r="C159" s="741" t="str">
        <f>IF(Indice_index!$Z$1=1,"MIH","MIH")</f>
        <v>MIH</v>
      </c>
      <c r="D159" s="737" t="str">
        <f>IF(Indice_index!$Z$1=1,"P018 - Infraestruturas e Habitação","P018 - Infrastructures and Housing")</f>
        <v>P018 - Infrastructures and Housing</v>
      </c>
      <c r="E159" s="738" t="str">
        <f>IF(Indice_index!$Z$1=1,"001 - Serv. Gerais da A.P. - Administração geral","001 - General public services - General Administration")</f>
        <v>001 - General public services - General Administration</v>
      </c>
      <c r="F159" s="739">
        <v>0.63731400000000005</v>
      </c>
      <c r="G159" s="739">
        <v>0.42488300000000001</v>
      </c>
      <c r="H159" s="590"/>
      <c r="I159"/>
      <c r="J159"/>
      <c r="K159"/>
      <c r="L159" s="447"/>
      <c r="M159" s="447"/>
    </row>
    <row r="160" spans="3:13" s="187" customFormat="1" ht="15" customHeight="1">
      <c r="C160" s="741"/>
      <c r="D160" s="737"/>
      <c r="E160" s="746" t="str">
        <f>IF(Indice_index!$Z$1=1,"004 - Serv. Gerais da A.P. - Investigação científica de carácter geral","004 - General public services - General scientific research")</f>
        <v>004 - General public services - General scientific research</v>
      </c>
      <c r="F160" s="740">
        <v>8.7499999999999994E-2</v>
      </c>
      <c r="G160" s="740">
        <v>8.7499999999999994E-2</v>
      </c>
      <c r="H160" s="590"/>
      <c r="I160"/>
      <c r="J160"/>
      <c r="K160"/>
      <c r="L160" s="447"/>
      <c r="M160" s="447"/>
    </row>
    <row r="161" spans="3:13" s="187" customFormat="1" ht="15" customHeight="1">
      <c r="C161" s="741"/>
      <c r="D161" s="737"/>
      <c r="E161" s="746" t="str">
        <f>IF(Indice_index!$Z$1=1,"030 - Habitação e serv. Colectivos - Habitação","030 - Housing and Common services - Housing")</f>
        <v>030 - Housing and Common services - Housing</v>
      </c>
      <c r="F161" s="740">
        <v>15.364978000000001</v>
      </c>
      <c r="G161" s="740">
        <v>15.468711000000001</v>
      </c>
      <c r="H161" s="590"/>
      <c r="I161"/>
      <c r="J161"/>
      <c r="K161"/>
      <c r="L161" s="447"/>
      <c r="M161" s="447"/>
    </row>
    <row r="162" spans="3:13" s="187" customFormat="1" ht="15" customHeight="1">
      <c r="C162" s="741"/>
      <c r="D162" s="737"/>
      <c r="E162" s="746" t="str">
        <f>IF(Indice_index!$Z$1=1,"052 - Transportes e comunicações - Administração e regulamentação","052 - Transport and Communications - Administration and regulations")</f>
        <v>052 - Transport and Communications - Administration and regulations</v>
      </c>
      <c r="F162" s="740">
        <v>15.656647</v>
      </c>
      <c r="G162" s="740">
        <v>15.700765000000001</v>
      </c>
      <c r="H162" s="590"/>
      <c r="I162"/>
      <c r="J162"/>
      <c r="K162"/>
      <c r="L162" s="447"/>
      <c r="M162" s="447"/>
    </row>
    <row r="163" spans="3:13" s="187" customFormat="1" ht="15" customHeight="1">
      <c r="C163" s="741"/>
      <c r="D163" s="737"/>
      <c r="E163" s="746" t="str">
        <f>IF(Indice_index!$Z$1=1,"054 - Transportes e comunicações - Transportes rodoviários","054 - Transport and Communications - Road transport")</f>
        <v>054 - Transport and Communications - Road transport</v>
      </c>
      <c r="F163" s="740">
        <v>3.3847559999999999</v>
      </c>
      <c r="G163" s="740">
        <v>3.3847559999999999</v>
      </c>
      <c r="H163" s="590"/>
      <c r="I163"/>
      <c r="J163"/>
      <c r="K163"/>
      <c r="L163" s="447"/>
      <c r="M163" s="447"/>
    </row>
    <row r="164" spans="3:13" s="187" customFormat="1" ht="15" customHeight="1">
      <c r="C164" s="741"/>
      <c r="D164" s="737"/>
      <c r="E164" s="746" t="str">
        <f>IF(Indice_index!$Z$1=1,"055 - Transportes e comunicações - Transportes ferroviários","055 - Transport and Communications - Rail transport")</f>
        <v>055 - Transport and Communications - Rail transport</v>
      </c>
      <c r="F164" s="740">
        <v>52.249031000000002</v>
      </c>
      <c r="G164" s="740">
        <v>52.249031000000002</v>
      </c>
      <c r="H164" s="590"/>
      <c r="I164"/>
      <c r="J164"/>
      <c r="K164"/>
      <c r="L164" s="447"/>
      <c r="M164" s="447"/>
    </row>
    <row r="165" spans="3:13" s="187" customFormat="1" ht="15" customHeight="1">
      <c r="C165" s="741"/>
      <c r="D165" s="737"/>
      <c r="E165" s="746" t="str">
        <f>IF(Indice_index!$Z$1=1,"057 - Transportes e comunicações - Transportes marítimos e fluviais","057 - Transport and Communications - Water transport")</f>
        <v>057 - Transport and Communications - Water transport</v>
      </c>
      <c r="F165" s="740">
        <v>0.5625</v>
      </c>
      <c r="G165" s="740">
        <v>0</v>
      </c>
      <c r="H165" s="590"/>
      <c r="I165"/>
      <c r="J165"/>
      <c r="K165"/>
      <c r="L165" s="447"/>
      <c r="M165" s="447"/>
    </row>
    <row r="166" spans="3:13" s="187" customFormat="1" ht="15" customHeight="1">
      <c r="C166" s="741"/>
      <c r="D166" s="737"/>
      <c r="E166" s="746" t="str">
        <f>IF(Indice_index!$Z$1=1,"063 - Outras funções económicas - Administração e regulamentação","063 - Outher economic functions - Administration e regulation")</f>
        <v>063 - Outher economic functions - Administration e regulation</v>
      </c>
      <c r="F166" s="740">
        <v>1.15882</v>
      </c>
      <c r="G166" s="740">
        <v>1.15882</v>
      </c>
      <c r="H166" s="590"/>
      <c r="I166"/>
      <c r="J166"/>
      <c r="K166"/>
      <c r="L166" s="447"/>
      <c r="M166" s="447"/>
    </row>
    <row r="167" spans="3:13" s="187" customFormat="1" ht="15" customHeight="1">
      <c r="C167" s="741"/>
      <c r="D167" s="737"/>
      <c r="E167" s="746" t="str">
        <f>IF(Indice_index!$Z$1=1,"095 - Contingência Covid 2019 - Prevenção, contenção, mitigação e tratamento","095 - Covid 2019 Contingency - Prevention, Containment, Mitigation and Treatment")</f>
        <v>095 - Covid 2019 Contingency - Prevention, Containment, Mitigation and Treatment</v>
      </c>
      <c r="F167" s="740">
        <v>0.21398300000000001</v>
      </c>
      <c r="G167" s="740">
        <v>0.21398300000000001</v>
      </c>
      <c r="H167" s="590"/>
      <c r="I167"/>
      <c r="J167"/>
      <c r="K167"/>
      <c r="L167" s="447"/>
      <c r="M167" s="447"/>
    </row>
    <row r="168" spans="3:13" s="187" customFormat="1" ht="15" customHeight="1">
      <c r="C168" s="741"/>
      <c r="D168" s="737"/>
      <c r="E168" s="746" t="str">
        <f>IF(Indice_index!$Z$1=1,"096 - Contingência Covid 2019 - Garantir Normalidade","096 - Covid Contingency 2019 - Ensure Normality")</f>
        <v>096 - Covid Contingency 2019 - Ensure Normality</v>
      </c>
      <c r="F168" s="740">
        <v>0.26324799999999998</v>
      </c>
      <c r="G168" s="740">
        <v>0.26324799999999998</v>
      </c>
      <c r="H168" s="590"/>
      <c r="I168"/>
      <c r="J168"/>
      <c r="K168"/>
      <c r="L168" s="447"/>
      <c r="M168" s="447"/>
    </row>
    <row r="169" spans="3:13" s="187" customFormat="1" ht="15" customHeight="1">
      <c r="C169" s="741"/>
      <c r="D169" s="742"/>
      <c r="E169" s="748" t="str">
        <f>D159</f>
        <v>P018 - Infrastructures and Housing</v>
      </c>
      <c r="F169" s="751">
        <f>SUM(F159:F168)</f>
        <v>89.578777000000002</v>
      </c>
      <c r="G169" s="751">
        <f>SUM(G159:G168)</f>
        <v>88.951697000000024</v>
      </c>
      <c r="H169" s="590"/>
      <c r="I169"/>
      <c r="J169"/>
      <c r="K169"/>
      <c r="L169" s="447"/>
      <c r="M169" s="447"/>
    </row>
    <row r="170" spans="3:13" s="187" customFormat="1" ht="15" customHeight="1">
      <c r="C170" s="741" t="str">
        <f>IF(Indice_index!$Z$1=1,"MA","MA")</f>
        <v>MA</v>
      </c>
      <c r="D170" s="737" t="str">
        <f>IF(Indice_index!$Z$1=1,"P020 - Agricultura","P020 - Agriculture")</f>
        <v>P020 - Agriculture</v>
      </c>
      <c r="E170" s="746" t="str">
        <f>IF(Indice_index!$Z$1=1,"040 - Agricultura, pecuária, silv, caça, pesca - Administração e regulamentação","040 - Crops, livestock, forestry, fisheries - Administration and regulations")</f>
        <v>040 - Crops, livestock, forestry, fisheries - Administration and regulations</v>
      </c>
      <c r="F170" s="740">
        <v>3.6731609999999999</v>
      </c>
      <c r="G170" s="740">
        <v>3.6979299999999999</v>
      </c>
      <c r="H170" s="590"/>
      <c r="I170"/>
      <c r="J170"/>
      <c r="K170"/>
      <c r="L170" s="447"/>
      <c r="M170" s="447"/>
    </row>
    <row r="171" spans="3:13" s="187" customFormat="1" ht="15" customHeight="1">
      <c r="C171" s="741"/>
      <c r="D171" s="737"/>
      <c r="E171" s="746" t="str">
        <f>IF(Indice_index!$Z$1=1,"041 - Agricultura, pecuária, silv, caça, pesca - Investigação","041 - Crops, livestock, forestry, fisheries - Research")</f>
        <v>041 - Crops, livestock, forestry, fisheries - Research</v>
      </c>
      <c r="F171" s="740">
        <v>3.7187999999999999E-2</v>
      </c>
      <c r="G171" s="740">
        <v>3.7187999999999999E-2</v>
      </c>
      <c r="H171" s="590"/>
      <c r="I171"/>
      <c r="J171"/>
      <c r="K171"/>
      <c r="L171" s="447"/>
      <c r="M171" s="447"/>
    </row>
    <row r="172" spans="3:13" s="187" customFormat="1" ht="15" customHeight="1">
      <c r="C172" s="741"/>
      <c r="D172" s="737"/>
      <c r="E172" s="746" t="str">
        <f>IF(Indice_index!$Z$1=1,"042 - Agricultura, pecuária, silv, caça, pesca - Agricultura e pecuária","042 - Crops, livestock, forestry, fisheries - Crops and livestock")</f>
        <v>042 - Crops, livestock, forestry, fisheries - Crops and livestock</v>
      </c>
      <c r="F172" s="740">
        <v>22.532931000000001</v>
      </c>
      <c r="G172" s="740">
        <v>11.852988</v>
      </c>
      <c r="H172" s="590"/>
      <c r="I172"/>
      <c r="J172"/>
      <c r="K172"/>
      <c r="L172" s="447"/>
      <c r="M172" s="447"/>
    </row>
    <row r="173" spans="3:13" s="187" customFormat="1" ht="15" customHeight="1">
      <c r="C173" s="741"/>
      <c r="D173" s="737"/>
      <c r="E173" s="746" t="str">
        <f>IF(Indice_index!$Z$1=1,"045 - Agricultura, pecuária, silv, caça, pesca – Pesca","045 - Crops, livestock, forestry, fisheries – Fisheries")</f>
        <v>045 - Crops, livestock, forestry, fisheries – Fisheries</v>
      </c>
      <c r="F173" s="740">
        <v>0.122588</v>
      </c>
      <c r="G173" s="740">
        <v>0.122588</v>
      </c>
      <c r="H173" s="590"/>
      <c r="I173"/>
      <c r="J173"/>
      <c r="K173"/>
      <c r="L173" s="447"/>
      <c r="M173" s="447"/>
    </row>
    <row r="174" spans="3:13" s="187" customFormat="1" ht="15" customHeight="1">
      <c r="C174" s="741"/>
      <c r="D174" s="737"/>
      <c r="E174" s="746" t="str">
        <f>IF(Indice_index!$Z$1=1,"095 - Contingência Covid 2019 - Prevenção, contenção, mitigação e tratamento","095 - Covid 2019 Contingency - Prevention, Containment, Mitigation and Treatment")</f>
        <v>095 - Covid 2019 Contingency - Prevention, Containment, Mitigation and Treatment</v>
      </c>
      <c r="F174" s="740">
        <v>0.14990100000000001</v>
      </c>
      <c r="G174" s="740">
        <v>0.122666</v>
      </c>
      <c r="H174" s="590"/>
      <c r="I174"/>
      <c r="J174"/>
      <c r="K174"/>
      <c r="L174" s="447"/>
      <c r="M174" s="447"/>
    </row>
    <row r="175" spans="3:13" s="187" customFormat="1" ht="15" customHeight="1">
      <c r="C175" s="741"/>
      <c r="D175" s="737"/>
      <c r="E175" s="746" t="str">
        <f>IF(Indice_index!$Z$1=1,"096 - Contingência Covid 2019 - Garantir Normalidade","096 - Covid Contingency 2019 - Ensure Normality")</f>
        <v>096 - Covid Contingency 2019 - Ensure Normality</v>
      </c>
      <c r="F175" s="740">
        <v>2.9572999999999999E-2</v>
      </c>
      <c r="G175" s="740">
        <v>2.9572999999999999E-2</v>
      </c>
      <c r="H175" s="590"/>
      <c r="I175"/>
      <c r="J175"/>
      <c r="K175"/>
      <c r="L175" s="447"/>
      <c r="M175" s="447"/>
    </row>
    <row r="176" spans="3:13" s="187" customFormat="1" ht="15" customHeight="1">
      <c r="C176" s="741"/>
      <c r="D176" s="742"/>
      <c r="E176" s="748" t="str">
        <f>D170</f>
        <v>P020 - Agriculture</v>
      </c>
      <c r="F176" s="744">
        <f>SUM(F170:F175)</f>
        <v>26.545342000000002</v>
      </c>
      <c r="G176" s="744">
        <f>SUM(G170:G175)</f>
        <v>15.862933</v>
      </c>
      <c r="H176" s="590"/>
      <c r="I176"/>
      <c r="J176"/>
      <c r="K176"/>
      <c r="L176" s="447"/>
      <c r="M176" s="447"/>
    </row>
    <row r="177" spans="3:13" s="187" customFormat="1" ht="15" customHeight="1">
      <c r="C177" s="741" t="str">
        <f>IF(Indice_index!$Z$1=1,"MM","MS")</f>
        <v>MS</v>
      </c>
      <c r="D177" s="737" t="str">
        <f>IF(Indice_index!$Z$1=1,"P021 - Mar","P021 - Sea")</f>
        <v>P021 - Sea</v>
      </c>
      <c r="E177" s="746" t="str">
        <f>IF(Indice_index!$Z$1=1,"004 - Serv. Gerais da A.P. - Investigação científica de carácter geral","004 - General public services - General scientific research")</f>
        <v>004 - General public services - General scientific research</v>
      </c>
      <c r="F177" s="739">
        <v>0.139098</v>
      </c>
      <c r="G177" s="739">
        <v>0.139098</v>
      </c>
      <c r="H177" s="590"/>
      <c r="I177"/>
      <c r="J177"/>
      <c r="K177"/>
      <c r="L177" s="447"/>
      <c r="M177" s="447"/>
    </row>
    <row r="178" spans="3:13" s="187" customFormat="1" ht="15" customHeight="1">
      <c r="C178" s="741"/>
      <c r="D178" s="737"/>
      <c r="E178" s="746" t="str">
        <f>IF(Indice_index!$Z$1=1,"040 - Agricultura, pecuária, silv, caça, pesca - Administração e regulamentação","040 - Crops, livestock, forestry, fisheries - Administration and regulations")</f>
        <v>040 - Crops, livestock, forestry, fisheries - Administration and regulations</v>
      </c>
      <c r="F178" s="740">
        <v>5.154471</v>
      </c>
      <c r="G178" s="740">
        <v>1.872952</v>
      </c>
      <c r="H178" s="590"/>
      <c r="I178"/>
      <c r="J178"/>
      <c r="K178"/>
      <c r="L178" s="447"/>
      <c r="M178" s="447"/>
    </row>
    <row r="179" spans="3:13" s="187" customFormat="1" ht="15" customHeight="1">
      <c r="C179" s="741"/>
      <c r="D179" s="737"/>
      <c r="E179" s="746" t="str">
        <f>IF(Indice_index!$Z$1=1,"045 - Agricultura, pecuária, silv, caça, pesca – Pesca","045 - Crops, livestock, forestry, fisheries – Fisheries")</f>
        <v>045 - Crops, livestock, forestry, fisheries – Fisheries</v>
      </c>
      <c r="F179" s="740">
        <v>0.87151999999999996</v>
      </c>
      <c r="G179" s="740">
        <v>0.87151999999999996</v>
      </c>
      <c r="H179" s="590"/>
      <c r="I179"/>
      <c r="J179"/>
      <c r="K179"/>
      <c r="L179" s="447"/>
      <c r="M179" s="447"/>
    </row>
    <row r="180" spans="3:13" s="187" customFormat="1" ht="15" customHeight="1">
      <c r="C180" s="741"/>
      <c r="D180" s="737"/>
      <c r="E180" s="746" t="str">
        <f>IF(Indice_index!$Z$1=1,"057 - Transportes e comunicações - Transportes marítimos e fluviais","057 - Transport and Communications - Water transport")</f>
        <v>057 - Transport and Communications - Water transport</v>
      </c>
      <c r="F180" s="740">
        <v>0.55246200000000001</v>
      </c>
      <c r="G180" s="740">
        <v>0.55246200000000001</v>
      </c>
      <c r="H180" s="590"/>
      <c r="I180"/>
      <c r="J180"/>
      <c r="K180"/>
      <c r="L180" s="447"/>
      <c r="M180" s="447"/>
    </row>
    <row r="181" spans="3:13" s="187" customFormat="1" ht="15" customHeight="1">
      <c r="C181" s="741"/>
      <c r="D181" s="737"/>
      <c r="E181" s="746" t="str">
        <f>IF(Indice_index!$Z$1=1,"095 - Contingência Covid 2019 - Prevenção, contenção, mitigação e tratamento","095 - Covid 2019 Contingency - Prevention, Containment, Mitigation and Treatment")</f>
        <v>095 - Covid 2019 Contingency - Prevention, Containment, Mitigation and Treatment</v>
      </c>
      <c r="F181" s="740">
        <v>1.5640000000000001E-3</v>
      </c>
      <c r="G181" s="740">
        <v>1.0740000000000001E-3</v>
      </c>
      <c r="H181" s="590"/>
      <c r="I181"/>
      <c r="J181"/>
      <c r="K181"/>
      <c r="L181" s="447"/>
      <c r="M181" s="447"/>
    </row>
    <row r="182" spans="3:13" s="187" customFormat="1" ht="15" customHeight="1">
      <c r="C182" s="741"/>
      <c r="D182" s="737"/>
      <c r="E182" s="746" t="str">
        <f>IF(Indice_index!$Z$1=1,"096 - Contingência Covid 2019 - Garantir Normalidade","096 - Covid Contingency 2019 - Ensure Normality")</f>
        <v>096 - Covid Contingency 2019 - Ensure Normality</v>
      </c>
      <c r="F182" s="740">
        <v>5.2989999999999999E-3</v>
      </c>
      <c r="G182" s="740">
        <v>5.2989999999999999E-3</v>
      </c>
      <c r="H182" s="590"/>
      <c r="I182"/>
      <c r="J182"/>
      <c r="K182"/>
      <c r="L182" s="447"/>
      <c r="M182" s="447"/>
    </row>
    <row r="183" spans="3:13" s="187" customFormat="1" ht="15" customHeight="1" thickBot="1">
      <c r="C183" s="741"/>
      <c r="D183" s="757"/>
      <c r="E183" s="737" t="str">
        <f>D177</f>
        <v>P021 - Sea</v>
      </c>
      <c r="F183" s="758">
        <f>SUM(F177:F182)</f>
        <v>6.7244140000000003</v>
      </c>
      <c r="G183" s="758">
        <f>SUM(G177:G182)</f>
        <v>3.4424049999999999</v>
      </c>
      <c r="H183" s="590"/>
      <c r="I183"/>
      <c r="J183"/>
      <c r="K183"/>
      <c r="L183" s="447"/>
      <c r="M183" s="447"/>
    </row>
    <row r="184" spans="3:13" s="187" customFormat="1" ht="15" customHeight="1" thickBot="1">
      <c r="C184" s="1768" t="str">
        <f>IF(Indice_index!$Z$1=1,"TOTAL Cativos","TOTAL frozen allocations")</f>
        <v>TOTAL frozen allocations</v>
      </c>
      <c r="D184" s="1769"/>
      <c r="E184" s="1769"/>
      <c r="F184" s="762">
        <f>F13+F37+F48+F54+F60+F61+F75+F91+F102+F107+F117+F126+F139+F143+F158+F169+F176+F183</f>
        <v>690.97966400000007</v>
      </c>
      <c r="G184" s="762">
        <f>G13+G37+G48+G54+G60+G61+G75+G91+G102+G107+G117+G126+G139+G143+G158+G169+G176+G183</f>
        <v>598.57238030000008</v>
      </c>
      <c r="H184" s="591"/>
      <c r="I184" s="513"/>
      <c r="J184" s="667"/>
      <c r="K184"/>
      <c r="L184" s="447"/>
      <c r="M184" s="447"/>
    </row>
    <row r="185" spans="3:13" s="187" customFormat="1" ht="15.75" customHeight="1">
      <c r="C185" s="247"/>
      <c r="D185" s="247"/>
      <c r="E185" s="247"/>
      <c r="F185" s="247"/>
      <c r="G185" s="456"/>
      <c r="I185"/>
      <c r="J185"/>
      <c r="K185"/>
    </row>
    <row r="186" spans="3:13" s="187" customFormat="1" ht="19.5" thickBot="1">
      <c r="C186" s="1773" t="str">
        <f>IF(Indice_index!$Z$1=1,"Reserva","Reserve")</f>
        <v>Reserve</v>
      </c>
      <c r="D186" s="1773"/>
      <c r="E186" s="1773"/>
      <c r="F186" s="1773"/>
      <c r="G186" s="456"/>
      <c r="I186"/>
      <c r="J186"/>
      <c r="K186"/>
    </row>
    <row r="187" spans="3:13" s="187" customFormat="1">
      <c r="C187" s="730"/>
      <c r="D187" s="730"/>
      <c r="E187" s="730"/>
      <c r="F187" s="763"/>
      <c r="G187" s="456"/>
      <c r="I187"/>
      <c r="J187"/>
      <c r="K187"/>
    </row>
    <row r="188" spans="3:13" s="187" customFormat="1">
      <c r="C188" s="729" t="str">
        <f>C4</f>
        <v>Period: April</v>
      </c>
      <c r="D188" s="730"/>
      <c r="E188" s="730"/>
      <c r="F188" s="732"/>
      <c r="G188" s="732" t="str">
        <f>IF(Indice_index!$Z$1=1,"€ Milhões","€ Millions")</f>
        <v>€ Millions</v>
      </c>
      <c r="I188"/>
      <c r="J188"/>
      <c r="K188"/>
    </row>
    <row r="189" spans="3:13" s="187" customFormat="1">
      <c r="C189" s="1770" t="str">
        <f>IF(Indice_index!$Z$1=1,"Ministério","Ministry")</f>
        <v>Ministry</v>
      </c>
      <c r="D189" s="1770" t="str">
        <f>IF(Indice_index!$Z$1=1,"Programa Orçamental","Budgetary program")</f>
        <v>Budgetary program</v>
      </c>
      <c r="E189" s="1770" t="str">
        <f>IF(Indice_index!$Z$1=1,"Reserva","Reserve")</f>
        <v>Reserve</v>
      </c>
      <c r="F189" s="1774"/>
      <c r="G189" s="1774"/>
      <c r="I189"/>
      <c r="J189"/>
      <c r="K189"/>
    </row>
    <row r="190" spans="3:13" s="187" customFormat="1" ht="20.25" customHeight="1">
      <c r="C190" s="1771"/>
      <c r="D190" s="1771"/>
      <c r="E190" s="1771"/>
      <c r="F190" s="733" t="str">
        <f>IF(Indice_index!$Z$1=1,"Cativos iniciais","Initial frozen allocations")</f>
        <v>Initial frozen allocations</v>
      </c>
      <c r="G190" s="734" t="str">
        <f>IF(Indice_index!$Z$1=1,"Cativos atuais","Current frozen allocations")</f>
        <v>Current frozen allocations</v>
      </c>
      <c r="H190" s="185"/>
      <c r="I190"/>
      <c r="J190"/>
      <c r="K190"/>
    </row>
    <row r="191" spans="3:13">
      <c r="C191" s="1772"/>
      <c r="D191" s="1772"/>
      <c r="E191" s="1772"/>
      <c r="F191" s="764" t="s">
        <v>66</v>
      </c>
      <c r="G191" s="765" t="s">
        <v>65</v>
      </c>
      <c r="L191" s="187"/>
    </row>
    <row r="192" spans="3:13" ht="15" customHeight="1">
      <c r="C192" s="766" t="str">
        <f>+C8</f>
        <v>GCS</v>
      </c>
      <c r="D192" s="766" t="str">
        <f>+D8</f>
        <v>P001 - Sovereignty Entities</v>
      </c>
      <c r="E192" s="767" t="str">
        <f>IF(Indice_index!$Z$1=1,"Reserva Orçamental","Reserve")</f>
        <v>Reserve</v>
      </c>
      <c r="F192" s="768">
        <v>4.8827179999999997</v>
      </c>
      <c r="G192" s="768">
        <v>4.4635369999999996</v>
      </c>
    </row>
    <row r="193" spans="3:12" ht="15" customHeight="1">
      <c r="C193" s="769" t="str">
        <f>+C14</f>
        <v>PRP</v>
      </c>
      <c r="D193" s="769" t="str">
        <f>+D14</f>
        <v>P002 - Government</v>
      </c>
      <c r="E193" s="770" t="str">
        <f>IF(Indice_index!$Z$1=1,"Reserva Orçamental","Reserve")</f>
        <v>Reserve</v>
      </c>
      <c r="F193" s="771">
        <v>2.6672769999999999</v>
      </c>
      <c r="G193" s="771">
        <v>2.5688</v>
      </c>
    </row>
    <row r="194" spans="3:12" ht="15" customHeight="1">
      <c r="C194" s="769" t="str">
        <f>+C22</f>
        <v>SPAM</v>
      </c>
      <c r="D194" s="769" t="str">
        <f>+D22</f>
        <v>P002 - Government</v>
      </c>
      <c r="E194" s="770" t="str">
        <f>IF(Indice_index!$Z$1=1,"Reserva Orçamental","Reserve")</f>
        <v>Reserve</v>
      </c>
      <c r="F194" s="771">
        <v>0.82151399999999997</v>
      </c>
      <c r="G194" s="771">
        <v>0.82151399999999997</v>
      </c>
    </row>
    <row r="195" spans="3:12" ht="15" customHeight="1">
      <c r="C195" s="769" t="str">
        <f>+C29</f>
        <v>MP</v>
      </c>
      <c r="D195" s="769" t="str">
        <f>+D29</f>
        <v>P002 - Government</v>
      </c>
      <c r="E195" s="770" t="str">
        <f>IF(Indice_index!$Z$1=1,"Reserva Orçamental","Reserve")</f>
        <v>Reserve</v>
      </c>
      <c r="F195" s="771">
        <v>0.65252399999999999</v>
      </c>
      <c r="G195" s="771">
        <v>0.65252399999999999</v>
      </c>
    </row>
    <row r="196" spans="3:12" ht="15" customHeight="1">
      <c r="C196" s="769" t="str">
        <f>+C31</f>
        <v>MTC</v>
      </c>
      <c r="D196" s="769" t="str">
        <f>+D31</f>
        <v>P002 - Government</v>
      </c>
      <c r="E196" s="770" t="str">
        <f>IF(Indice_index!$Z$1=1,"Reserva Orçamental","Reserve")</f>
        <v>Reserve</v>
      </c>
      <c r="F196" s="771">
        <v>0.42214400000000002</v>
      </c>
      <c r="G196" s="771">
        <v>0</v>
      </c>
    </row>
    <row r="197" spans="3:12" ht="15" customHeight="1">
      <c r="C197" s="769" t="str">
        <f>C38</f>
        <v>MEDT</v>
      </c>
      <c r="D197" s="769" t="str">
        <f>D38</f>
        <v>P003 - Economy</v>
      </c>
      <c r="E197" s="770" t="str">
        <f>IF(Indice_index!$Z$1=1,"Reserva Orçamental","Reserve")</f>
        <v>Reserve</v>
      </c>
      <c r="F197" s="771">
        <v>14.030802</v>
      </c>
      <c r="G197" s="771">
        <v>14.030802</v>
      </c>
    </row>
    <row r="198" spans="3:12" ht="15" customHeight="1">
      <c r="C198" s="769" t="str">
        <f>+C49</f>
        <v>MFA</v>
      </c>
      <c r="D198" s="769" t="str">
        <f>+D49</f>
        <v>P004 - Foreign Affairs</v>
      </c>
      <c r="E198" s="770" t="str">
        <f>IF(Indice_index!$Z$1=1,"Reserva Orçamental","Reserve")</f>
        <v>Reserve</v>
      </c>
      <c r="F198" s="771">
        <v>8.2154830000000008</v>
      </c>
      <c r="G198" s="771">
        <v>8.2154830000000008</v>
      </c>
    </row>
    <row r="199" spans="3:12" ht="15" customHeight="1">
      <c r="C199" s="769" t="str">
        <f>+C55</f>
        <v>MF</v>
      </c>
      <c r="D199" s="769" t="str">
        <f>+D55</f>
        <v>P005 - Finance and Public Administration</v>
      </c>
      <c r="E199" s="770" t="str">
        <f>IF(Indice_index!$Z$1=1,"Reserva Orçamental","Reserve")</f>
        <v>Reserve</v>
      </c>
      <c r="F199" s="771">
        <v>33.319355000000002</v>
      </c>
      <c r="G199" s="771">
        <v>33.319355000000002</v>
      </c>
    </row>
    <row r="200" spans="3:12" ht="15" customHeight="1">
      <c r="C200" s="769" t="str">
        <f>+C62</f>
        <v>MND</v>
      </c>
      <c r="D200" s="769" t="str">
        <f>+D62</f>
        <v>P007 - Defence</v>
      </c>
      <c r="E200" s="770" t="str">
        <f>IF(Indice_index!$Z$1=1,"Reserva Orçamental","Reserve")</f>
        <v>Reserve</v>
      </c>
      <c r="F200" s="771">
        <v>39.862482999999997</v>
      </c>
      <c r="G200" s="771">
        <v>32.264187999999997</v>
      </c>
    </row>
    <row r="201" spans="3:12" ht="15" customHeight="1">
      <c r="C201" s="769" t="str">
        <f>C76</f>
        <v>MIA</v>
      </c>
      <c r="D201" s="769" t="str">
        <f>D76</f>
        <v>P008 - Internal Security</v>
      </c>
      <c r="E201" s="770" t="str">
        <f>IF(Indice_index!$Z$1=1,"Reserva Orçamental","Reserve")</f>
        <v>Reserve</v>
      </c>
      <c r="F201" s="771">
        <v>45.669536999999998</v>
      </c>
      <c r="G201" s="771">
        <v>45.669536999999998</v>
      </c>
    </row>
    <row r="202" spans="3:12" ht="15" customHeight="1">
      <c r="C202" s="769" t="str">
        <f>+C92</f>
        <v>MJ</v>
      </c>
      <c r="D202" s="769" t="str">
        <f>+D92</f>
        <v>P009 - Justice</v>
      </c>
      <c r="E202" s="770" t="str">
        <f>IF(Indice_index!$Z$1=1,"Reserva Orçamental","Reserve")</f>
        <v>Reserve</v>
      </c>
      <c r="F202" s="771">
        <v>34.953803000000001</v>
      </c>
      <c r="G202" s="771">
        <v>34.947428000000002</v>
      </c>
    </row>
    <row r="203" spans="3:12" ht="15" customHeight="1">
      <c r="C203" s="769" t="str">
        <f>+C103</f>
        <v>MC</v>
      </c>
      <c r="D203" s="769" t="str">
        <f>+D103</f>
        <v>P012 - Culture</v>
      </c>
      <c r="E203" s="770" t="str">
        <f>IF(Indice_index!$Z$1=1,"Reserva Orçamental","Reserve")</f>
        <v>Reserve</v>
      </c>
      <c r="F203" s="771">
        <v>6.4839869999999999</v>
      </c>
      <c r="G203" s="771">
        <v>5.1021939999999999</v>
      </c>
    </row>
    <row r="204" spans="3:12" ht="15" customHeight="1">
      <c r="C204" s="769" t="str">
        <f>+C109</f>
        <v>MSHE</v>
      </c>
      <c r="D204" s="769" t="str">
        <f>+D109</f>
        <v>P013 - Science and Higher Education</v>
      </c>
      <c r="E204" s="770" t="str">
        <f>IF(Indice_index!$Z$1=1,"Reserva Orçamental","Reserve")</f>
        <v>Reserve</v>
      </c>
      <c r="F204" s="771">
        <v>10.508226000000001</v>
      </c>
      <c r="G204" s="771">
        <v>10.508226000000001</v>
      </c>
    </row>
    <row r="205" spans="3:12" s="424" customFormat="1" ht="15" customHeight="1">
      <c r="C205" s="772" t="str">
        <f>+C119</f>
        <v>MEd</v>
      </c>
      <c r="D205" s="772" t="str">
        <f>+D119</f>
        <v>P014 - Basic and Secondary Education and School Administration</v>
      </c>
      <c r="E205" s="773" t="str">
        <f>IF(Indice_index!$Z$1=1,"Reserva Orçamental","Reserve")</f>
        <v>Reserve</v>
      </c>
      <c r="F205" s="771">
        <v>3.9356040000000001</v>
      </c>
      <c r="G205" s="771">
        <v>3.9356040000000001</v>
      </c>
      <c r="I205"/>
      <c r="J205"/>
      <c r="K205"/>
      <c r="L205" s="185"/>
    </row>
    <row r="206" spans="3:12" ht="15" customHeight="1">
      <c r="C206" s="769" t="str">
        <f>+C128</f>
        <v>MLSSF</v>
      </c>
      <c r="D206" s="769" t="str">
        <f>+D128</f>
        <v>P015 - Work, Solidarity and Social Security</v>
      </c>
      <c r="E206" s="770" t="str">
        <f>IF(Indice_index!$Z$1=1,"Reserva Orçamental","Reserve")</f>
        <v>Reserve</v>
      </c>
      <c r="F206" s="771">
        <v>25.010014000000002</v>
      </c>
      <c r="G206" s="771">
        <v>25.010014000000002</v>
      </c>
      <c r="L206" s="424"/>
    </row>
    <row r="207" spans="3:12" ht="15" customHeight="1">
      <c r="C207" s="769" t="str">
        <f>C140</f>
        <v>MH</v>
      </c>
      <c r="D207" s="769" t="str">
        <f>D140</f>
        <v>P016 - Health</v>
      </c>
      <c r="E207" s="770" t="str">
        <f>IF(Indice_index!$Z$1=1,"Reserva Orçamental","Reserve")</f>
        <v>Reserve</v>
      </c>
      <c r="F207" s="771">
        <v>1.698588</v>
      </c>
      <c r="G207" s="771">
        <v>1.698588</v>
      </c>
    </row>
    <row r="208" spans="3:12" ht="15" customHeight="1">
      <c r="C208" s="769" t="str">
        <f>C145</f>
        <v>MECA</v>
      </c>
      <c r="D208" s="769" t="str">
        <f>D145</f>
        <v>P017 -  Environment and Climate Action</v>
      </c>
      <c r="E208" s="770" t="str">
        <f>IF(Indice_index!$Z$1=1,"Reserva Orçamental","Reserve")</f>
        <v>Reserve</v>
      </c>
      <c r="F208" s="771">
        <v>19.628831999999999</v>
      </c>
      <c r="G208" s="771">
        <v>19.628831999999999</v>
      </c>
    </row>
    <row r="209" spans="3:12" ht="15" customHeight="1">
      <c r="C209" s="769" t="str">
        <f>C159</f>
        <v>MIH</v>
      </c>
      <c r="D209" s="769" t="str">
        <f>D159</f>
        <v>P018 - Infrastructures and Housing</v>
      </c>
      <c r="E209" s="770" t="str">
        <f>IF(Indice_index!$Z$1=1,"Reserva Orçamental","Reserve")</f>
        <v>Reserve</v>
      </c>
      <c r="F209" s="771">
        <v>57.886015999999998</v>
      </c>
      <c r="G209" s="771">
        <v>57.052405</v>
      </c>
    </row>
    <row r="210" spans="3:12" ht="15" customHeight="1">
      <c r="C210" s="769" t="str">
        <f>C170</f>
        <v>MA</v>
      </c>
      <c r="D210" s="769" t="str">
        <f>D170</f>
        <v>P020 - Agriculture</v>
      </c>
      <c r="E210" s="770" t="str">
        <f>IF(Indice_index!$Z$1=1,"Reserva Orçamental","Reserve")</f>
        <v>Reserve</v>
      </c>
      <c r="F210" s="771">
        <v>9.7119060000000008</v>
      </c>
      <c r="G210" s="771">
        <v>9.5990529999999996</v>
      </c>
    </row>
    <row r="211" spans="3:12" ht="15" customHeight="1" thickBot="1">
      <c r="C211" s="774" t="str">
        <f>C177</f>
        <v>MS</v>
      </c>
      <c r="D211" s="774" t="str">
        <f>D177</f>
        <v>P021 - Sea</v>
      </c>
      <c r="E211" s="775" t="str">
        <f>IF(Indice_index!$Z$1=1,"Reserva Orçamental","Reserve")</f>
        <v>Reserve</v>
      </c>
      <c r="F211" s="776">
        <v>1.299566</v>
      </c>
      <c r="G211" s="776">
        <v>1.2995030000000001</v>
      </c>
    </row>
    <row r="212" spans="3:12" ht="15" customHeight="1" thickBot="1">
      <c r="C212" s="1768" t="s">
        <v>64</v>
      </c>
      <c r="D212" s="1769"/>
      <c r="E212" s="1769"/>
      <c r="F212" s="777">
        <f>SUM(F192:F211)</f>
        <v>321.66037900000003</v>
      </c>
      <c r="G212" s="778">
        <f t="shared" ref="G212" si="3">SUM(G192:G211)</f>
        <v>310.78758700000003</v>
      </c>
    </row>
    <row r="213" spans="3:12" ht="4.5" customHeight="1" thickBot="1">
      <c r="C213" s="779"/>
      <c r="D213" s="780"/>
      <c r="E213" s="780"/>
      <c r="F213" s="781"/>
      <c r="G213" s="782"/>
    </row>
    <row r="214" spans="3:12" ht="15" customHeight="1" thickBot="1">
      <c r="C214" s="1768" t="str">
        <f>IF(Indice_index!$Z$1=1,"TOTAL Cativos + Reserva 2022","TOTAL Frozen allocations + Reserve 2022")</f>
        <v>TOTAL Frozen allocations + Reserve 2022</v>
      </c>
      <c r="D214" s="1769"/>
      <c r="E214" s="1769"/>
      <c r="F214" s="777">
        <f>F212+F184</f>
        <v>1012.6400430000001</v>
      </c>
      <c r="G214" s="778">
        <f>G212+G184</f>
        <v>909.35996730000011</v>
      </c>
      <c r="I214" s="529"/>
      <c r="K214" s="640"/>
      <c r="L214" s="640"/>
    </row>
    <row r="215" spans="3:12" ht="15" customHeight="1" thickBot="1">
      <c r="C215" s="783"/>
      <c r="D215" s="783"/>
      <c r="E215" s="783"/>
      <c r="F215" s="780"/>
      <c r="G215" s="784"/>
    </row>
    <row r="216" spans="3:12" ht="15" customHeight="1" thickBot="1">
      <c r="C216" s="1768" t="str">
        <f>IF(Indice_index!$Z$1=1,"Por memória Total Cativos + Reserva 2021","Memo item: Total Frozen allocations + Reserve 2021")</f>
        <v>Memo item: Total Frozen allocations + Reserve 2021</v>
      </c>
      <c r="D216" s="1769"/>
      <c r="E216" s="1769"/>
      <c r="F216" s="762">
        <v>1014.713043</v>
      </c>
      <c r="G216" s="785">
        <v>909.42907530000014</v>
      </c>
    </row>
    <row r="217" spans="3:12" ht="4.5" customHeight="1">
      <c r="C217" s="779"/>
      <c r="D217" s="780"/>
      <c r="E217" s="780"/>
      <c r="F217" s="780"/>
      <c r="G217" s="784"/>
    </row>
    <row r="218" spans="3:12" ht="15" customHeight="1">
      <c r="C218" s="641" t="str">
        <f>IF(Indice_index!$Z$1=1,"Notas:","Notes:")</f>
        <v>Notes:</v>
      </c>
      <c r="D218" s="786"/>
      <c r="E218" s="786"/>
      <c r="F218" s="786"/>
      <c r="G218" s="456"/>
    </row>
    <row r="219" spans="3:12" ht="36" customHeight="1">
      <c r="C219" s="1778" t="str">
        <f>IF(Indice_index!$Z$1=1,_xlfn.CONCAT("- Decorrente do regime transitório de execução orçamental, definido na Lei de Enquadramento Orçamental (aprovada pela Lei n.º 151/2015, de 11 de setembro, na sua atual redação)"," e regulamentado pelo Decreto-Lei n.º 126-C/2021, de 31 de dezembro, a informação que se divulga sobre a utilização condicionada das dotações orçamentais tem fundamento na Lei do Orçamento do Estado para 2021 (Lei n.º 75-B/2020, de 31 de dezembro),"," a qual será objeto de revisão para os seus valores definitivos após a entrada em vigor da Lei do Orçamento do Estado para 2022."),_xlfn.CONCAT("-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f>
        <v>- Arising from the transitional regime of budget execution, defined in the Budgetary Framework Law (approved by Law No. 151/2015, of 11 September, in its current wording) and regulated by Decree-Law No. 126-C/2021, of 31 December , the information disclosed on the conditional use of budget appropriations is based on the 2021 State Budget Law (Law nº 75-B/2020, of 31 December), which will be revised to its definitive values after the entry into force of the 2022 State Budget Law.</v>
      </c>
      <c r="D219" s="1778"/>
      <c r="E219" s="1778"/>
      <c r="F219" s="1778"/>
      <c r="G219" s="1776"/>
    </row>
    <row r="220" spans="3:12" ht="15" customHeight="1">
      <c r="C220" s="1777"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Non-consolidated data: frozen allocations that affect State Budget transfers for Autonomus Services and Funds are removed.</v>
      </c>
      <c r="D220" s="1777"/>
      <c r="E220" s="1777"/>
      <c r="F220" s="1777"/>
      <c r="G220" s="1776"/>
      <c r="I220" s="528"/>
    </row>
    <row r="221" spans="3:12" ht="15" customHeight="1">
      <c r="C221" s="1775"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Due to the particular nature of the Reserve, with no pre-established purpose, it has been removed from the Measures identified above.</v>
      </c>
      <c r="D221" s="1776"/>
      <c r="E221" s="1776"/>
      <c r="F221" s="1776"/>
      <c r="G221" s="1776"/>
    </row>
    <row r="222" spans="3:12" ht="4.5" customHeight="1">
      <c r="C222" s="1779" t="str">
        <f>IF(Indice_index!$Z$1=1,"Fonte: Direção-Geral do Orçamento","Source: Budget General Directorate")</f>
        <v>Source: Budget General Directorate</v>
      </c>
      <c r="D222" s="1776"/>
      <c r="E222" s="1776"/>
      <c r="F222" s="1776"/>
      <c r="G222" s="1776"/>
      <c r="L222" s="247"/>
    </row>
    <row r="223" spans="3:12" ht="15" customHeight="1">
      <c r="C223" s="1776"/>
      <c r="D223" s="1776"/>
      <c r="E223" s="1776"/>
      <c r="F223" s="1776"/>
      <c r="G223" s="1776"/>
    </row>
    <row r="224" spans="3:12">
      <c r="F224" s="247"/>
      <c r="G224" s="456"/>
    </row>
    <row r="225" spans="3:7">
      <c r="C225" s="642"/>
      <c r="G225" s="456"/>
    </row>
    <row r="226" spans="3:7">
      <c r="G226" s="456"/>
    </row>
    <row r="227" spans="3:7">
      <c r="G227" s="456"/>
    </row>
    <row r="228" spans="3:7">
      <c r="C228" s="419"/>
      <c r="G228" s="456"/>
    </row>
    <row r="229" spans="3:7">
      <c r="G229" s="457"/>
    </row>
    <row r="230" spans="3:7">
      <c r="C230"/>
      <c r="G230" s="457"/>
    </row>
    <row r="231" spans="3:7">
      <c r="G231" s="457"/>
    </row>
    <row r="232" spans="3:7">
      <c r="G232" s="457"/>
    </row>
    <row r="233" spans="3:7">
      <c r="G233" s="457"/>
    </row>
  </sheetData>
  <mergeCells count="17">
    <mergeCell ref="C216:E216"/>
    <mergeCell ref="C221:G221"/>
    <mergeCell ref="C220:G220"/>
    <mergeCell ref="C219:G219"/>
    <mergeCell ref="C222:G223"/>
    <mergeCell ref="C214:E214"/>
    <mergeCell ref="C5:C7"/>
    <mergeCell ref="D5:D7"/>
    <mergeCell ref="E5:E7"/>
    <mergeCell ref="C184:E184"/>
    <mergeCell ref="C186:F186"/>
    <mergeCell ref="F5:G5"/>
    <mergeCell ref="F189:G189"/>
    <mergeCell ref="C212:E212"/>
    <mergeCell ref="C189:C191"/>
    <mergeCell ref="D189:D191"/>
    <mergeCell ref="E189:E191"/>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75" max="6" man="1"/>
    <brk id="144" max="6" man="1"/>
    <brk id="185" max="6" man="1"/>
  </rowBreaks>
  <ignoredErrors>
    <ignoredError sqref="F7:G7 F191:G191" numberStoredAsText="1"/>
    <ignoredError sqref="F183:F184 G183:G184 F75:G75 F126 F139 F158 G126:G140 G158:G181" formulaRange="1"/>
    <ignoredError sqref="E30 E60 E10" formula="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19"/>
  <sheetViews>
    <sheetView showGridLines="0" zoomScaleNormal="100" zoomScaleSheetLayoutView="100" workbookViewId="0">
      <selection activeCell="B2" sqref="B2"/>
    </sheetView>
  </sheetViews>
  <sheetFormatPr defaultRowHeight="15"/>
  <cols>
    <col min="1" max="1" width="2.42578125" style="185" customWidth="1"/>
    <col min="2" max="2" width="4.42578125" customWidth="1"/>
    <col min="3" max="3" width="84.5703125" customWidth="1"/>
  </cols>
  <sheetData>
    <row r="1" spans="1:9" s="50" customFormat="1" ht="15" customHeight="1">
      <c r="B1" s="49"/>
      <c r="F1"/>
      <c r="G1"/>
      <c r="H1"/>
      <c r="I1"/>
    </row>
    <row r="2" spans="1:9" s="185" customFormat="1" ht="24" customHeight="1">
      <c r="B2" s="8"/>
      <c r="C2" s="51" t="str">
        <f>IF(Indice_index!$Z$1=1,"23 - Lista de entidades da Administração Central em 2022","23 - Central Administration's list of entities in 2022")</f>
        <v>23 - Central Administration's list of entities in 2022</v>
      </c>
      <c r="D2" s="51"/>
      <c r="F2"/>
      <c r="G2"/>
      <c r="H2"/>
      <c r="I2"/>
    </row>
    <row r="3" spans="1:9" s="187" customFormat="1" ht="30" customHeight="1">
      <c r="B3" s="184"/>
      <c r="C3" s="186"/>
      <c r="D3" s="186"/>
      <c r="F3"/>
      <c r="G3"/>
      <c r="H3"/>
      <c r="I3"/>
    </row>
    <row r="4" spans="1:9" ht="15.75" thickBot="1">
      <c r="A4" s="187"/>
      <c r="C4" s="648" t="str">
        <f>IF(Indice_index!$Z$1=1,"P001 - Órgãos de Soberania","P001 - Sovereignty Entities")</f>
        <v>P001 - Sovereignty Entities</v>
      </c>
    </row>
    <row r="5" spans="1:9">
      <c r="A5" s="187"/>
      <c r="C5" s="647" t="s">
        <v>582</v>
      </c>
    </row>
    <row r="6" spans="1:9">
      <c r="A6" s="187"/>
      <c r="C6" s="647" t="s">
        <v>581</v>
      </c>
    </row>
    <row r="7" spans="1:9">
      <c r="A7" s="187"/>
      <c r="C7" s="647" t="s">
        <v>580</v>
      </c>
    </row>
    <row r="8" spans="1:9">
      <c r="A8" s="187"/>
      <c r="C8" s="647" t="s">
        <v>579</v>
      </c>
    </row>
    <row r="9" spans="1:9">
      <c r="A9" s="187"/>
      <c r="C9" s="647" t="s">
        <v>578</v>
      </c>
    </row>
    <row r="10" spans="1:9">
      <c r="A10" s="187"/>
      <c r="C10" s="647" t="s">
        <v>577</v>
      </c>
    </row>
    <row r="11" spans="1:9">
      <c r="A11" s="187"/>
      <c r="C11" s="647" t="s">
        <v>576</v>
      </c>
    </row>
    <row r="12" spans="1:9">
      <c r="A12" s="187"/>
      <c r="C12" s="647" t="s">
        <v>575</v>
      </c>
    </row>
    <row r="13" spans="1:9">
      <c r="A13" s="187"/>
      <c r="C13" s="647" t="s">
        <v>574</v>
      </c>
    </row>
    <row r="14" spans="1:9">
      <c r="A14" s="187"/>
      <c r="C14" s="647" t="s">
        <v>573</v>
      </c>
    </row>
    <row r="15" spans="1:9">
      <c r="A15" s="187"/>
      <c r="C15" s="647" t="s">
        <v>572</v>
      </c>
    </row>
    <row r="16" spans="1:9">
      <c r="A16" s="187"/>
      <c r="C16" s="647" t="s">
        <v>571</v>
      </c>
    </row>
    <row r="17" spans="1:3">
      <c r="A17" s="187"/>
      <c r="C17" s="647" t="s">
        <v>570</v>
      </c>
    </row>
    <row r="18" spans="1:3">
      <c r="A18" s="187"/>
      <c r="C18" s="647" t="s">
        <v>569</v>
      </c>
    </row>
    <row r="19" spans="1:3">
      <c r="A19" s="187"/>
      <c r="C19" s="647" t="s">
        <v>568</v>
      </c>
    </row>
    <row r="20" spans="1:3">
      <c r="A20" s="187"/>
      <c r="C20" s="647" t="s">
        <v>567</v>
      </c>
    </row>
    <row r="21" spans="1:3">
      <c r="A21" s="187"/>
      <c r="C21" s="647" t="s">
        <v>566</v>
      </c>
    </row>
    <row r="22" spans="1:3">
      <c r="A22" s="187"/>
      <c r="C22" s="647" t="s">
        <v>565</v>
      </c>
    </row>
    <row r="23" spans="1:3">
      <c r="A23" s="187"/>
      <c r="C23" s="647" t="s">
        <v>564</v>
      </c>
    </row>
    <row r="24" spans="1:3">
      <c r="A24" s="187"/>
      <c r="C24" s="647" t="s">
        <v>563</v>
      </c>
    </row>
    <row r="25" spans="1:3">
      <c r="A25" s="187"/>
      <c r="C25" s="647" t="s">
        <v>562</v>
      </c>
    </row>
    <row r="26" spans="1:3">
      <c r="A26" s="187"/>
      <c r="C26" s="647" t="s">
        <v>561</v>
      </c>
    </row>
    <row r="27" spans="1:3">
      <c r="A27" s="187"/>
      <c r="C27" s="647" t="s">
        <v>560</v>
      </c>
    </row>
    <row r="28" spans="1:3">
      <c r="A28" s="187"/>
      <c r="C28" s="647" t="s">
        <v>559</v>
      </c>
    </row>
    <row r="29" spans="1:3">
      <c r="A29" s="187"/>
      <c r="C29" s="647" t="s">
        <v>558</v>
      </c>
    </row>
    <row r="30" spans="1:3" ht="15.75" thickBot="1">
      <c r="A30" s="187"/>
      <c r="C30" s="648" t="str">
        <f>IF(Indice_index!$Z$1=1,"P002 - Governação","P002 - Government")</f>
        <v>P002 - Government</v>
      </c>
    </row>
    <row r="31" spans="1:3">
      <c r="A31" s="187"/>
      <c r="C31" s="647" t="s">
        <v>557</v>
      </c>
    </row>
    <row r="32" spans="1:3">
      <c r="A32" s="187"/>
      <c r="C32" s="647" t="s">
        <v>556</v>
      </c>
    </row>
    <row r="33" spans="1:3">
      <c r="A33" s="187"/>
      <c r="C33" s="647" t="s">
        <v>555</v>
      </c>
    </row>
    <row r="34" spans="1:3">
      <c r="A34" s="187"/>
      <c r="C34" s="647" t="s">
        <v>554</v>
      </c>
    </row>
    <row r="35" spans="1:3">
      <c r="A35" s="187"/>
      <c r="C35" s="647" t="s">
        <v>553</v>
      </c>
    </row>
    <row r="36" spans="1:3">
      <c r="A36" s="187"/>
      <c r="C36" s="647" t="s">
        <v>552</v>
      </c>
    </row>
    <row r="37" spans="1:3">
      <c r="A37" s="187"/>
      <c r="C37" s="647" t="s">
        <v>551</v>
      </c>
    </row>
    <row r="38" spans="1:3">
      <c r="A38" s="187"/>
      <c r="C38" s="647" t="s">
        <v>550</v>
      </c>
    </row>
    <row r="39" spans="1:3">
      <c r="A39" s="187"/>
      <c r="C39" s="647" t="s">
        <v>549</v>
      </c>
    </row>
    <row r="40" spans="1:3">
      <c r="A40" s="187"/>
      <c r="C40" s="647" t="s">
        <v>548</v>
      </c>
    </row>
    <row r="41" spans="1:3">
      <c r="A41" s="97"/>
      <c r="C41" s="647" t="s">
        <v>547</v>
      </c>
    </row>
    <row r="42" spans="1:3">
      <c r="A42" s="187"/>
      <c r="C42" s="647" t="s">
        <v>546</v>
      </c>
    </row>
    <row r="43" spans="1:3">
      <c r="A43" s="187"/>
      <c r="C43" s="647" t="s">
        <v>545</v>
      </c>
    </row>
    <row r="44" spans="1:3">
      <c r="A44" s="187"/>
      <c r="C44" s="647" t="s">
        <v>544</v>
      </c>
    </row>
    <row r="45" spans="1:3">
      <c r="A45" s="53"/>
      <c r="C45" s="647" t="s">
        <v>543</v>
      </c>
    </row>
    <row r="46" spans="1:3">
      <c r="A46" s="187"/>
      <c r="C46" s="647" t="s">
        <v>542</v>
      </c>
    </row>
    <row r="47" spans="1:3">
      <c r="A47" s="187"/>
      <c r="C47" s="647" t="s">
        <v>541</v>
      </c>
    </row>
    <row r="48" spans="1:3">
      <c r="A48" s="187"/>
      <c r="C48" s="647" t="s">
        <v>540</v>
      </c>
    </row>
    <row r="49" spans="1:3">
      <c r="A49" s="187"/>
      <c r="C49" s="647" t="s">
        <v>539</v>
      </c>
    </row>
    <row r="50" spans="1:3">
      <c r="A50" s="187"/>
      <c r="C50" s="647" t="s">
        <v>538</v>
      </c>
    </row>
    <row r="51" spans="1:3">
      <c r="A51" s="187"/>
      <c r="C51" s="647" t="s">
        <v>537</v>
      </c>
    </row>
    <row r="52" spans="1:3">
      <c r="A52" s="187"/>
      <c r="C52" s="647" t="s">
        <v>536</v>
      </c>
    </row>
    <row r="53" spans="1:3">
      <c r="A53" s="514"/>
      <c r="C53" s="647" t="s">
        <v>535</v>
      </c>
    </row>
    <row r="54" spans="1:3">
      <c r="A54" s="432"/>
      <c r="C54" s="647" t="s">
        <v>534</v>
      </c>
    </row>
    <row r="55" spans="1:3">
      <c r="A55" s="432"/>
      <c r="C55" s="647" t="s">
        <v>533</v>
      </c>
    </row>
    <row r="56" spans="1:3">
      <c r="A56" s="514"/>
      <c r="C56" s="647" t="s">
        <v>532</v>
      </c>
    </row>
    <row r="57" spans="1:3">
      <c r="A57" s="187"/>
      <c r="C57" s="647" t="s">
        <v>531</v>
      </c>
    </row>
    <row r="58" spans="1:3">
      <c r="A58" s="187"/>
      <c r="C58" s="647" t="s">
        <v>530</v>
      </c>
    </row>
    <row r="59" spans="1:3" ht="15.75" thickBot="1">
      <c r="A59" s="187"/>
      <c r="C59" s="648" t="str">
        <f>IF(Indice_index!$Z$1=1,"P003 - Economia","P003 - Economy")</f>
        <v>P003 - Economy</v>
      </c>
    </row>
    <row r="60" spans="1:3">
      <c r="A60" s="187"/>
      <c r="C60" s="647" t="s">
        <v>529</v>
      </c>
    </row>
    <row r="61" spans="1:3">
      <c r="A61" s="187"/>
      <c r="C61" s="647" t="s">
        <v>528</v>
      </c>
    </row>
    <row r="62" spans="1:3">
      <c r="A62" s="187"/>
      <c r="C62" s="647" t="s">
        <v>527</v>
      </c>
    </row>
    <row r="63" spans="1:3">
      <c r="A63" s="187"/>
      <c r="C63" s="647" t="s">
        <v>526</v>
      </c>
    </row>
    <row r="64" spans="1:3">
      <c r="A64" s="187"/>
      <c r="C64" s="647" t="s">
        <v>525</v>
      </c>
    </row>
    <row r="65" spans="1:3">
      <c r="A65" s="187"/>
      <c r="C65" s="647" t="s">
        <v>524</v>
      </c>
    </row>
    <row r="66" spans="1:3">
      <c r="A66" s="187"/>
      <c r="C66" s="647" t="s">
        <v>523</v>
      </c>
    </row>
    <row r="67" spans="1:3">
      <c r="A67" s="187"/>
      <c r="C67" s="647" t="s">
        <v>590</v>
      </c>
    </row>
    <row r="68" spans="1:3">
      <c r="A68" s="187"/>
      <c r="C68" s="647" t="s">
        <v>522</v>
      </c>
    </row>
    <row r="69" spans="1:3">
      <c r="A69" s="187"/>
      <c r="C69" s="647" t="s">
        <v>521</v>
      </c>
    </row>
    <row r="70" spans="1:3">
      <c r="A70" s="187"/>
      <c r="C70" s="647" t="s">
        <v>520</v>
      </c>
    </row>
    <row r="71" spans="1:3">
      <c r="A71" s="187"/>
      <c r="C71" s="647" t="s">
        <v>519</v>
      </c>
    </row>
    <row r="72" spans="1:3">
      <c r="A72" s="187"/>
      <c r="C72" s="647" t="s">
        <v>518</v>
      </c>
    </row>
    <row r="73" spans="1:3">
      <c r="A73" s="187"/>
      <c r="C73" s="647" t="s">
        <v>517</v>
      </c>
    </row>
    <row r="74" spans="1:3">
      <c r="A74" s="187"/>
      <c r="C74" s="647" t="s">
        <v>516</v>
      </c>
    </row>
    <row r="75" spans="1:3">
      <c r="A75" s="187"/>
      <c r="C75" s="647" t="s">
        <v>515</v>
      </c>
    </row>
    <row r="76" spans="1:3">
      <c r="A76" s="187"/>
      <c r="C76" s="647" t="s">
        <v>514</v>
      </c>
    </row>
    <row r="77" spans="1:3">
      <c r="A77" s="187"/>
      <c r="C77" s="647" t="s">
        <v>513</v>
      </c>
    </row>
    <row r="78" spans="1:3">
      <c r="A78" s="187"/>
      <c r="C78" s="647" t="s">
        <v>512</v>
      </c>
    </row>
    <row r="79" spans="1:3">
      <c r="A79" s="187"/>
      <c r="C79" s="647" t="s">
        <v>511</v>
      </c>
    </row>
    <row r="80" spans="1:3">
      <c r="A80" s="187"/>
      <c r="C80" s="647" t="s">
        <v>510</v>
      </c>
    </row>
    <row r="81" spans="1:3">
      <c r="A81" s="187"/>
      <c r="C81" s="647" t="s">
        <v>509</v>
      </c>
    </row>
    <row r="82" spans="1:3">
      <c r="A82" s="187"/>
      <c r="C82" s="647" t="s">
        <v>508</v>
      </c>
    </row>
    <row r="83" spans="1:3">
      <c r="A83" s="187"/>
      <c r="C83" s="647" t="s">
        <v>507</v>
      </c>
    </row>
    <row r="84" spans="1:3">
      <c r="A84" s="187"/>
      <c r="C84" s="647" t="s">
        <v>506</v>
      </c>
    </row>
    <row r="85" spans="1:3" ht="15.75" thickBot="1">
      <c r="A85" s="187"/>
      <c r="C85" s="648" t="str">
        <f>IF(Indice_index!$Z$1=1,"P004 - Representação Externa","P004 - Foreign Affairs")</f>
        <v>P004 - Foreign Affairs</v>
      </c>
    </row>
    <row r="86" spans="1:3">
      <c r="A86" s="187"/>
      <c r="C86" s="647" t="s">
        <v>505</v>
      </c>
    </row>
    <row r="87" spans="1:3">
      <c r="A87" s="187"/>
      <c r="C87" s="647" t="s">
        <v>504</v>
      </c>
    </row>
    <row r="88" spans="1:3">
      <c r="A88" s="187"/>
      <c r="C88" s="647" t="s">
        <v>503</v>
      </c>
    </row>
    <row r="89" spans="1:3">
      <c r="A89" s="187"/>
      <c r="C89" s="647" t="s">
        <v>502</v>
      </c>
    </row>
    <row r="90" spans="1:3">
      <c r="A90" s="187"/>
      <c r="C90" s="647" t="s">
        <v>501</v>
      </c>
    </row>
    <row r="91" spans="1:3">
      <c r="A91" s="187"/>
      <c r="C91" s="647" t="s">
        <v>500</v>
      </c>
    </row>
    <row r="92" spans="1:3" ht="15.75" thickBot="1">
      <c r="A92" s="187"/>
      <c r="C92" s="648" t="str">
        <f>IF(Indice_index!$Z$1=1,"P005 - Finanças","P005 - Finance and Public Administration")</f>
        <v>P005 - Finance and Public Administration</v>
      </c>
    </row>
    <row r="93" spans="1:3">
      <c r="A93" s="187"/>
      <c r="C93" s="647" t="s">
        <v>499</v>
      </c>
    </row>
    <row r="94" spans="1:3">
      <c r="A94" s="187"/>
      <c r="C94" s="647" t="s">
        <v>498</v>
      </c>
    </row>
    <row r="95" spans="1:3">
      <c r="A95" s="187"/>
      <c r="C95" s="647" t="s">
        <v>497</v>
      </c>
    </row>
    <row r="96" spans="1:3">
      <c r="A96" s="187"/>
      <c r="C96" s="647" t="s">
        <v>496</v>
      </c>
    </row>
    <row r="97" spans="1:3">
      <c r="A97" s="187"/>
      <c r="C97" s="647" t="s">
        <v>495</v>
      </c>
    </row>
    <row r="98" spans="1:3">
      <c r="A98" s="187"/>
      <c r="C98" s="647" t="s">
        <v>494</v>
      </c>
    </row>
    <row r="99" spans="1:3">
      <c r="A99" s="187"/>
      <c r="C99" s="647" t="s">
        <v>493</v>
      </c>
    </row>
    <row r="100" spans="1:3">
      <c r="A100" s="187"/>
      <c r="C100" s="647" t="s">
        <v>492</v>
      </c>
    </row>
    <row r="101" spans="1:3">
      <c r="A101" s="187"/>
      <c r="C101" s="647" t="s">
        <v>491</v>
      </c>
    </row>
    <row r="102" spans="1:3">
      <c r="A102" s="187"/>
      <c r="C102" s="647" t="s">
        <v>490</v>
      </c>
    </row>
    <row r="103" spans="1:3">
      <c r="A103" s="187"/>
      <c r="C103" s="647" t="s">
        <v>489</v>
      </c>
    </row>
    <row r="104" spans="1:3">
      <c r="A104" s="187"/>
      <c r="C104" s="647" t="s">
        <v>488</v>
      </c>
    </row>
    <row r="105" spans="1:3">
      <c r="A105" s="187"/>
      <c r="C105" s="647" t="s">
        <v>487</v>
      </c>
    </row>
    <row r="106" spans="1:3">
      <c r="A106" s="187"/>
      <c r="C106" s="647" t="s">
        <v>486</v>
      </c>
    </row>
    <row r="107" spans="1:3">
      <c r="A107" s="187"/>
      <c r="C107" s="647" t="s">
        <v>485</v>
      </c>
    </row>
    <row r="108" spans="1:3">
      <c r="A108" s="187"/>
      <c r="C108" s="647" t="s">
        <v>484</v>
      </c>
    </row>
    <row r="109" spans="1:3">
      <c r="A109" s="187"/>
      <c r="C109" s="647" t="s">
        <v>483</v>
      </c>
    </row>
    <row r="110" spans="1:3">
      <c r="A110" s="187"/>
      <c r="C110" s="647" t="s">
        <v>482</v>
      </c>
    </row>
    <row r="111" spans="1:3">
      <c r="A111" s="187"/>
      <c r="C111" s="647" t="s">
        <v>481</v>
      </c>
    </row>
    <row r="112" spans="1:3">
      <c r="A112" s="187"/>
      <c r="C112" s="647" t="s">
        <v>480</v>
      </c>
    </row>
    <row r="113" spans="1:3">
      <c r="A113" s="187"/>
      <c r="C113" s="647" t="s">
        <v>479</v>
      </c>
    </row>
    <row r="114" spans="1:3">
      <c r="A114" s="187"/>
      <c r="C114" s="647" t="s">
        <v>478</v>
      </c>
    </row>
    <row r="115" spans="1:3">
      <c r="A115" s="187"/>
      <c r="C115" s="647" t="s">
        <v>477</v>
      </c>
    </row>
    <row r="116" spans="1:3">
      <c r="A116" s="187"/>
      <c r="C116" s="647" t="s">
        <v>476</v>
      </c>
    </row>
    <row r="117" spans="1:3">
      <c r="A117" s="187"/>
      <c r="C117" s="647" t="s">
        <v>475</v>
      </c>
    </row>
    <row r="118" spans="1:3">
      <c r="A118" s="187"/>
      <c r="C118" s="647" t="s">
        <v>474</v>
      </c>
    </row>
    <row r="119" spans="1:3">
      <c r="A119" s="187"/>
      <c r="C119" s="647" t="s">
        <v>473</v>
      </c>
    </row>
    <row r="120" spans="1:3">
      <c r="A120" s="187"/>
      <c r="C120" s="647" t="s">
        <v>472</v>
      </c>
    </row>
    <row r="121" spans="1:3">
      <c r="A121" s="187"/>
      <c r="C121" s="647" t="s">
        <v>471</v>
      </c>
    </row>
    <row r="122" spans="1:3">
      <c r="A122" s="187"/>
      <c r="C122" s="647" t="s">
        <v>470</v>
      </c>
    </row>
    <row r="123" spans="1:3">
      <c r="A123" s="187"/>
      <c r="C123" s="647" t="s">
        <v>469</v>
      </c>
    </row>
    <row r="124" spans="1:3">
      <c r="A124" s="187"/>
      <c r="C124" s="647" t="s">
        <v>468</v>
      </c>
    </row>
    <row r="125" spans="1:3">
      <c r="A125" s="187"/>
      <c r="C125" s="647" t="s">
        <v>467</v>
      </c>
    </row>
    <row r="126" spans="1:3">
      <c r="A126" s="187"/>
      <c r="C126" s="647" t="s">
        <v>466</v>
      </c>
    </row>
    <row r="127" spans="1:3" ht="15.75" thickBot="1">
      <c r="A127" s="187"/>
      <c r="C127" s="648" t="str">
        <f>IF(Indice_index!$Z$1=1,"P006 - Gestão da Dívida Pública","P006 - Public Debt Management")</f>
        <v>P006 - Public Debt Management</v>
      </c>
    </row>
    <row r="128" spans="1:3">
      <c r="A128" s="187"/>
      <c r="C128" s="647" t="s">
        <v>465</v>
      </c>
    </row>
    <row r="129" spans="1:3" ht="15.75" thickBot="1">
      <c r="A129" s="187"/>
      <c r="C129" s="648" t="str">
        <f>IF(Indice_index!$Z$1=1,"P007 - Defesa","P007 - Defence")</f>
        <v>P007 - Defence</v>
      </c>
    </row>
    <row r="130" spans="1:3">
      <c r="A130" s="187"/>
      <c r="C130" s="647" t="s">
        <v>464</v>
      </c>
    </row>
    <row r="131" spans="1:3">
      <c r="A131" s="187"/>
      <c r="C131" s="647" t="s">
        <v>463</v>
      </c>
    </row>
    <row r="132" spans="1:3">
      <c r="A132" s="187"/>
      <c r="C132" s="647" t="s">
        <v>462</v>
      </c>
    </row>
    <row r="133" spans="1:3">
      <c r="A133" s="187"/>
      <c r="C133" s="647" t="s">
        <v>461</v>
      </c>
    </row>
    <row r="134" spans="1:3">
      <c r="A134" s="187"/>
      <c r="C134" s="647" t="s">
        <v>460</v>
      </c>
    </row>
    <row r="135" spans="1:3">
      <c r="A135" s="187"/>
      <c r="C135" s="647" t="s">
        <v>459</v>
      </c>
    </row>
    <row r="136" spans="1:3">
      <c r="A136" s="187"/>
      <c r="C136" s="647" t="s">
        <v>458</v>
      </c>
    </row>
    <row r="137" spans="1:3">
      <c r="A137" s="187"/>
      <c r="C137" s="647" t="s">
        <v>457</v>
      </c>
    </row>
    <row r="138" spans="1:3">
      <c r="A138" s="187"/>
      <c r="C138" s="647" t="s">
        <v>456</v>
      </c>
    </row>
    <row r="139" spans="1:3">
      <c r="A139" s="187"/>
      <c r="C139" s="647" t="s">
        <v>455</v>
      </c>
    </row>
    <row r="140" spans="1:3">
      <c r="A140" s="187"/>
      <c r="C140" s="647" t="s">
        <v>454</v>
      </c>
    </row>
    <row r="141" spans="1:3">
      <c r="A141" s="187"/>
      <c r="C141" s="647" t="s">
        <v>453</v>
      </c>
    </row>
    <row r="142" spans="1:3">
      <c r="A142" s="187"/>
      <c r="C142" s="647" t="s">
        <v>452</v>
      </c>
    </row>
    <row r="143" spans="1:3">
      <c r="A143" s="187"/>
      <c r="C143" s="647" t="s">
        <v>451</v>
      </c>
    </row>
    <row r="144" spans="1:3">
      <c r="A144" s="187"/>
      <c r="C144" s="647" t="s">
        <v>450</v>
      </c>
    </row>
    <row r="145" spans="1:3">
      <c r="A145" s="187"/>
      <c r="C145" s="647" t="s">
        <v>449</v>
      </c>
    </row>
    <row r="146" spans="1:3">
      <c r="A146" s="187"/>
      <c r="C146" s="647" t="s">
        <v>448</v>
      </c>
    </row>
    <row r="147" spans="1:3">
      <c r="A147" s="187"/>
      <c r="C147" s="647" t="s">
        <v>447</v>
      </c>
    </row>
    <row r="148" spans="1:3" ht="15.75" thickBot="1">
      <c r="A148" s="187"/>
      <c r="C148" s="648" t="str">
        <f>IF(Indice_index!$Z$1=1,"P008 - Segurança Interna","P008 - Internal Security")</f>
        <v>P008 - Internal Security</v>
      </c>
    </row>
    <row r="149" spans="1:3">
      <c r="A149" s="187"/>
      <c r="C149" s="647" t="s">
        <v>446</v>
      </c>
    </row>
    <row r="150" spans="1:3">
      <c r="A150" s="187"/>
      <c r="C150" s="647" t="s">
        <v>445</v>
      </c>
    </row>
    <row r="151" spans="1:3">
      <c r="A151" s="187"/>
      <c r="C151" s="647" t="s">
        <v>444</v>
      </c>
    </row>
    <row r="152" spans="1:3">
      <c r="A152" s="187"/>
      <c r="C152" s="647" t="s">
        <v>443</v>
      </c>
    </row>
    <row r="153" spans="1:3">
      <c r="A153" s="187"/>
      <c r="C153" s="647" t="s">
        <v>442</v>
      </c>
    </row>
    <row r="154" spans="1:3">
      <c r="A154" s="187"/>
      <c r="C154" s="647" t="s">
        <v>441</v>
      </c>
    </row>
    <row r="155" spans="1:3">
      <c r="A155" s="187"/>
      <c r="C155" s="647" t="s">
        <v>440</v>
      </c>
    </row>
    <row r="156" spans="1:3">
      <c r="A156" s="187"/>
      <c r="C156" s="647" t="s">
        <v>439</v>
      </c>
    </row>
    <row r="157" spans="1:3">
      <c r="A157" s="187"/>
      <c r="C157" s="647" t="s">
        <v>438</v>
      </c>
    </row>
    <row r="158" spans="1:3">
      <c r="A158" s="187"/>
      <c r="C158" s="647" t="s">
        <v>437</v>
      </c>
    </row>
    <row r="159" spans="1:3">
      <c r="A159" s="187"/>
      <c r="C159" s="647" t="s">
        <v>436</v>
      </c>
    </row>
    <row r="160" spans="1:3">
      <c r="A160" s="187"/>
      <c r="C160" s="647" t="s">
        <v>435</v>
      </c>
    </row>
    <row r="161" spans="1:3">
      <c r="A161" s="187"/>
      <c r="C161" s="647" t="s">
        <v>434</v>
      </c>
    </row>
    <row r="162" spans="1:3" ht="15.75" thickBot="1">
      <c r="A162" s="187"/>
      <c r="C162" s="648" t="str">
        <f>IF(Indice_index!$Z$1=1,"P009 - Justiça","P009 - Justice")</f>
        <v>P009 - Justice</v>
      </c>
    </row>
    <row r="163" spans="1:3">
      <c r="A163" s="187"/>
      <c r="C163" s="647" t="s">
        <v>433</v>
      </c>
    </row>
    <row r="164" spans="1:3">
      <c r="A164" s="187"/>
      <c r="C164" s="647" t="s">
        <v>432</v>
      </c>
    </row>
    <row r="165" spans="1:3">
      <c r="A165" s="187"/>
      <c r="C165" s="647" t="s">
        <v>431</v>
      </c>
    </row>
    <row r="166" spans="1:3">
      <c r="A166" s="187"/>
      <c r="C166" s="647" t="s">
        <v>430</v>
      </c>
    </row>
    <row r="167" spans="1:3">
      <c r="A167" s="187"/>
      <c r="C167" s="647" t="s">
        <v>429</v>
      </c>
    </row>
    <row r="168" spans="1:3">
      <c r="A168" s="187"/>
      <c r="C168" s="647" t="s">
        <v>428</v>
      </c>
    </row>
    <row r="169" spans="1:3">
      <c r="A169" s="187"/>
      <c r="C169" s="649" t="s">
        <v>427</v>
      </c>
    </row>
    <row r="170" spans="1:3">
      <c r="A170" s="187"/>
      <c r="C170" s="647" t="s">
        <v>426</v>
      </c>
    </row>
    <row r="171" spans="1:3">
      <c r="A171" s="187"/>
      <c r="C171" s="647" t="s">
        <v>425</v>
      </c>
    </row>
    <row r="172" spans="1:3">
      <c r="A172" s="187"/>
      <c r="C172" s="647" t="s">
        <v>424</v>
      </c>
    </row>
    <row r="173" spans="1:3">
      <c r="A173" s="187"/>
      <c r="C173" s="647" t="s">
        <v>423</v>
      </c>
    </row>
    <row r="174" spans="1:3">
      <c r="A174" s="187"/>
      <c r="C174" s="647" t="s">
        <v>422</v>
      </c>
    </row>
    <row r="175" spans="1:3">
      <c r="A175" s="187"/>
      <c r="C175" s="647" t="s">
        <v>421</v>
      </c>
    </row>
    <row r="176" spans="1:3">
      <c r="A176" s="187"/>
      <c r="C176" s="647" t="s">
        <v>420</v>
      </c>
    </row>
    <row r="177" spans="1:3">
      <c r="A177" s="187"/>
      <c r="C177" s="647" t="s">
        <v>419</v>
      </c>
    </row>
    <row r="178" spans="1:3">
      <c r="A178" s="187"/>
      <c r="C178" s="647" t="s">
        <v>418</v>
      </c>
    </row>
    <row r="179" spans="1:3">
      <c r="A179" s="187"/>
      <c r="C179" s="647" t="s">
        <v>417</v>
      </c>
    </row>
    <row r="180" spans="1:3">
      <c r="A180" s="187"/>
      <c r="C180" s="647" t="s">
        <v>416</v>
      </c>
    </row>
    <row r="181" spans="1:3">
      <c r="A181" s="187"/>
      <c r="C181" s="647" t="s">
        <v>415</v>
      </c>
    </row>
    <row r="182" spans="1:3">
      <c r="A182" s="187"/>
      <c r="C182" s="647" t="s">
        <v>414</v>
      </c>
    </row>
    <row r="183" spans="1:3">
      <c r="A183" s="187"/>
      <c r="C183" s="647" t="s">
        <v>413</v>
      </c>
    </row>
    <row r="184" spans="1:3">
      <c r="A184" s="187"/>
      <c r="C184" s="647" t="s">
        <v>412</v>
      </c>
    </row>
    <row r="185" spans="1:3" ht="15.75" thickBot="1">
      <c r="A185" s="187"/>
      <c r="B185" s="247"/>
      <c r="C185" s="648" t="str">
        <f>IF(Indice_index!$Z$1=1,"P012 - Cultura","P012 - Culture")</f>
        <v>P012 - Culture</v>
      </c>
    </row>
    <row r="186" spans="1:3">
      <c r="A186" s="187"/>
      <c r="C186" s="647" t="s">
        <v>411</v>
      </c>
    </row>
    <row r="187" spans="1:3">
      <c r="A187" s="187"/>
      <c r="C187" s="647" t="s">
        <v>410</v>
      </c>
    </row>
    <row r="188" spans="1:3">
      <c r="A188" s="187"/>
      <c r="C188" s="647" t="s">
        <v>409</v>
      </c>
    </row>
    <row r="189" spans="1:3">
      <c r="A189" s="187"/>
      <c r="C189" s="647" t="s">
        <v>408</v>
      </c>
    </row>
    <row r="190" spans="1:3">
      <c r="A190" s="187"/>
      <c r="C190" s="647" t="s">
        <v>407</v>
      </c>
    </row>
    <row r="191" spans="1:3">
      <c r="A191" s="187"/>
      <c r="C191" s="647" t="s">
        <v>406</v>
      </c>
    </row>
    <row r="192" spans="1:3">
      <c r="A192" s="187"/>
      <c r="C192" s="647" t="s">
        <v>405</v>
      </c>
    </row>
    <row r="193" spans="1:3">
      <c r="A193" s="187"/>
      <c r="C193" s="647" t="s">
        <v>404</v>
      </c>
    </row>
    <row r="194" spans="1:3">
      <c r="A194" s="187"/>
      <c r="C194" s="647" t="s">
        <v>403</v>
      </c>
    </row>
    <row r="195" spans="1:3">
      <c r="A195" s="187"/>
      <c r="C195" s="647" t="s">
        <v>402</v>
      </c>
    </row>
    <row r="196" spans="1:3">
      <c r="A196" s="187"/>
      <c r="C196" s="647" t="s">
        <v>401</v>
      </c>
    </row>
    <row r="197" spans="1:3">
      <c r="A197" s="187"/>
      <c r="C197" s="647" t="s">
        <v>400</v>
      </c>
    </row>
    <row r="198" spans="1:3">
      <c r="A198" s="187"/>
      <c r="C198" s="647" t="s">
        <v>399</v>
      </c>
    </row>
    <row r="199" spans="1:3">
      <c r="A199" s="187"/>
      <c r="C199" s="647" t="s">
        <v>398</v>
      </c>
    </row>
    <row r="200" spans="1:3">
      <c r="A200" s="187"/>
      <c r="C200" s="647" t="s">
        <v>397</v>
      </c>
    </row>
    <row r="201" spans="1:3">
      <c r="A201" s="187"/>
      <c r="C201" s="647" t="s">
        <v>396</v>
      </c>
    </row>
    <row r="202" spans="1:3">
      <c r="A202" s="187"/>
      <c r="C202" s="647" t="s">
        <v>395</v>
      </c>
    </row>
    <row r="203" spans="1:3" ht="15.75" thickBot="1">
      <c r="A203" s="187"/>
      <c r="C203" s="648" t="str">
        <f>IF(Indice_index!$Z$1=1,"P013 - Ciência, Tecnologia e Ensino Superior","P013 - Science and Higher Education")</f>
        <v>P013 - Science and Higher Education</v>
      </c>
    </row>
    <row r="204" spans="1:3">
      <c r="A204" s="187"/>
      <c r="C204" s="647" t="s">
        <v>394</v>
      </c>
    </row>
    <row r="205" spans="1:3">
      <c r="A205" s="187"/>
      <c r="C205" s="647" t="s">
        <v>393</v>
      </c>
    </row>
    <row r="206" spans="1:3">
      <c r="A206" s="187"/>
      <c r="C206" s="647" t="s">
        <v>392</v>
      </c>
    </row>
    <row r="207" spans="1:3">
      <c r="A207" s="187"/>
      <c r="C207" s="647" t="s">
        <v>391</v>
      </c>
    </row>
    <row r="208" spans="1:3">
      <c r="A208" s="187"/>
      <c r="C208" s="647" t="s">
        <v>390</v>
      </c>
    </row>
    <row r="209" spans="1:3">
      <c r="A209" s="187"/>
      <c r="C209" s="647" t="s">
        <v>389</v>
      </c>
    </row>
    <row r="210" spans="1:3">
      <c r="A210" s="187"/>
      <c r="C210" s="647" t="s">
        <v>388</v>
      </c>
    </row>
    <row r="211" spans="1:3">
      <c r="A211" s="187"/>
      <c r="C211" s="647" t="s">
        <v>387</v>
      </c>
    </row>
    <row r="212" spans="1:3">
      <c r="A212" s="187"/>
      <c r="C212" s="647" t="s">
        <v>386</v>
      </c>
    </row>
    <row r="213" spans="1:3">
      <c r="A213" s="187"/>
      <c r="C213" s="647" t="s">
        <v>385</v>
      </c>
    </row>
    <row r="214" spans="1:3">
      <c r="A214" s="187"/>
      <c r="C214" s="647" t="s">
        <v>384</v>
      </c>
    </row>
    <row r="215" spans="1:3">
      <c r="A215" s="187"/>
      <c r="C215" s="647" t="s">
        <v>383</v>
      </c>
    </row>
    <row r="216" spans="1:3">
      <c r="A216" s="187"/>
      <c r="C216" s="647" t="s">
        <v>382</v>
      </c>
    </row>
    <row r="217" spans="1:3">
      <c r="A217" s="187"/>
      <c r="C217" s="647" t="s">
        <v>381</v>
      </c>
    </row>
    <row r="218" spans="1:3">
      <c r="A218" s="187"/>
      <c r="C218" s="647" t="s">
        <v>380</v>
      </c>
    </row>
    <row r="219" spans="1:3">
      <c r="A219" s="187"/>
      <c r="C219" s="647" t="s">
        <v>379</v>
      </c>
    </row>
    <row r="220" spans="1:3">
      <c r="A220" s="187"/>
      <c r="C220" s="647" t="s">
        <v>378</v>
      </c>
    </row>
    <row r="221" spans="1:3">
      <c r="A221" s="187"/>
      <c r="C221" s="647" t="s">
        <v>377</v>
      </c>
    </row>
    <row r="222" spans="1:3">
      <c r="A222" s="187"/>
      <c r="C222" s="647" t="s">
        <v>376</v>
      </c>
    </row>
    <row r="223" spans="1:3">
      <c r="A223" s="187"/>
      <c r="C223" s="647" t="s">
        <v>375</v>
      </c>
    </row>
    <row r="224" spans="1:3">
      <c r="A224" s="187"/>
      <c r="C224" s="647" t="s">
        <v>374</v>
      </c>
    </row>
    <row r="225" spans="1:3">
      <c r="A225" s="187"/>
      <c r="C225" s="647" t="s">
        <v>373</v>
      </c>
    </row>
    <row r="226" spans="1:3">
      <c r="A226" s="187"/>
      <c r="C226" s="647" t="s">
        <v>372</v>
      </c>
    </row>
    <row r="227" spans="1:3">
      <c r="A227" s="187"/>
      <c r="C227" s="647" t="s">
        <v>371</v>
      </c>
    </row>
    <row r="228" spans="1:3">
      <c r="A228" s="187"/>
      <c r="C228" s="647" t="s">
        <v>370</v>
      </c>
    </row>
    <row r="229" spans="1:3">
      <c r="C229" s="647" t="s">
        <v>369</v>
      </c>
    </row>
    <row r="230" spans="1:3">
      <c r="C230" s="647" t="s">
        <v>368</v>
      </c>
    </row>
    <row r="231" spans="1:3">
      <c r="C231" s="647" t="s">
        <v>367</v>
      </c>
    </row>
    <row r="232" spans="1:3">
      <c r="C232" s="647" t="s">
        <v>366</v>
      </c>
    </row>
    <row r="233" spans="1:3">
      <c r="C233" s="647" t="s">
        <v>365</v>
      </c>
    </row>
    <row r="234" spans="1:3">
      <c r="C234" s="647" t="s">
        <v>364</v>
      </c>
    </row>
    <row r="235" spans="1:3">
      <c r="C235" s="647" t="s">
        <v>363</v>
      </c>
    </row>
    <row r="236" spans="1:3">
      <c r="C236" s="647" t="s">
        <v>362</v>
      </c>
    </row>
    <row r="237" spans="1:3">
      <c r="C237" s="647" t="s">
        <v>361</v>
      </c>
    </row>
    <row r="238" spans="1:3">
      <c r="C238" s="647" t="s">
        <v>360</v>
      </c>
    </row>
    <row r="239" spans="1:3">
      <c r="C239" s="647" t="s">
        <v>359</v>
      </c>
    </row>
    <row r="240" spans="1:3">
      <c r="C240" s="647" t="s">
        <v>358</v>
      </c>
    </row>
    <row r="241" spans="3:3">
      <c r="C241" s="647" t="s">
        <v>357</v>
      </c>
    </row>
    <row r="242" spans="3:3">
      <c r="C242" s="647" t="s">
        <v>356</v>
      </c>
    </row>
    <row r="243" spans="3:3">
      <c r="C243" s="647" t="s">
        <v>355</v>
      </c>
    </row>
    <row r="244" spans="3:3">
      <c r="C244" s="647" t="s">
        <v>354</v>
      </c>
    </row>
    <row r="245" spans="3:3">
      <c r="C245" s="647" t="s">
        <v>353</v>
      </c>
    </row>
    <row r="246" spans="3:3">
      <c r="C246" s="647" t="s">
        <v>352</v>
      </c>
    </row>
    <row r="247" spans="3:3">
      <c r="C247" s="647" t="s">
        <v>351</v>
      </c>
    </row>
    <row r="248" spans="3:3">
      <c r="C248" s="647" t="s">
        <v>350</v>
      </c>
    </row>
    <row r="249" spans="3:3">
      <c r="C249" s="647" t="s">
        <v>349</v>
      </c>
    </row>
    <row r="250" spans="3:3">
      <c r="C250" s="647" t="s">
        <v>348</v>
      </c>
    </row>
    <row r="251" spans="3:3">
      <c r="C251" s="647" t="s">
        <v>347</v>
      </c>
    </row>
    <row r="252" spans="3:3">
      <c r="C252" s="647" t="s">
        <v>346</v>
      </c>
    </row>
    <row r="253" spans="3:3">
      <c r="C253" s="647" t="s">
        <v>345</v>
      </c>
    </row>
    <row r="254" spans="3:3">
      <c r="C254" s="647" t="s">
        <v>344</v>
      </c>
    </row>
    <row r="255" spans="3:3">
      <c r="C255" s="647" t="s">
        <v>343</v>
      </c>
    </row>
    <row r="256" spans="3:3">
      <c r="C256" s="647" t="s">
        <v>342</v>
      </c>
    </row>
    <row r="257" spans="3:3">
      <c r="C257" s="647" t="s">
        <v>341</v>
      </c>
    </row>
    <row r="258" spans="3:3">
      <c r="C258" s="647" t="s">
        <v>340</v>
      </c>
    </row>
    <row r="259" spans="3:3">
      <c r="C259" s="647" t="s">
        <v>339</v>
      </c>
    </row>
    <row r="260" spans="3:3">
      <c r="C260" s="647" t="s">
        <v>338</v>
      </c>
    </row>
    <row r="261" spans="3:3">
      <c r="C261" s="647" t="s">
        <v>337</v>
      </c>
    </row>
    <row r="262" spans="3:3">
      <c r="C262" s="647" t="s">
        <v>336</v>
      </c>
    </row>
    <row r="263" spans="3:3">
      <c r="C263" s="647" t="s">
        <v>335</v>
      </c>
    </row>
    <row r="264" spans="3:3">
      <c r="C264" s="647" t="s">
        <v>334</v>
      </c>
    </row>
    <row r="265" spans="3:3">
      <c r="C265" s="647" t="s">
        <v>333</v>
      </c>
    </row>
    <row r="266" spans="3:3">
      <c r="C266" s="647" t="s">
        <v>332</v>
      </c>
    </row>
    <row r="267" spans="3:3">
      <c r="C267" s="647" t="s">
        <v>331</v>
      </c>
    </row>
    <row r="268" spans="3:3">
      <c r="C268" s="647" t="s">
        <v>330</v>
      </c>
    </row>
    <row r="269" spans="3:3">
      <c r="C269" s="647" t="s">
        <v>329</v>
      </c>
    </row>
    <row r="270" spans="3:3">
      <c r="C270" s="647" t="s">
        <v>328</v>
      </c>
    </row>
    <row r="271" spans="3:3">
      <c r="C271" s="647" t="s">
        <v>327</v>
      </c>
    </row>
    <row r="272" spans="3:3">
      <c r="C272" s="647" t="s">
        <v>326</v>
      </c>
    </row>
    <row r="273" spans="3:3">
      <c r="C273" s="647" t="s">
        <v>325</v>
      </c>
    </row>
    <row r="274" spans="3:3">
      <c r="C274" s="647" t="s">
        <v>324</v>
      </c>
    </row>
    <row r="275" spans="3:3">
      <c r="C275" s="647" t="s">
        <v>323</v>
      </c>
    </row>
    <row r="276" spans="3:3">
      <c r="C276" s="647" t="s">
        <v>322</v>
      </c>
    </row>
    <row r="277" spans="3:3">
      <c r="C277" s="647" t="s">
        <v>321</v>
      </c>
    </row>
    <row r="278" spans="3:3">
      <c r="C278" s="647" t="s">
        <v>320</v>
      </c>
    </row>
    <row r="279" spans="3:3">
      <c r="C279" s="647" t="s">
        <v>319</v>
      </c>
    </row>
    <row r="280" spans="3:3">
      <c r="C280" s="647" t="s">
        <v>318</v>
      </c>
    </row>
    <row r="281" spans="3:3">
      <c r="C281" s="647" t="s">
        <v>317</v>
      </c>
    </row>
    <row r="282" spans="3:3">
      <c r="C282" s="647" t="s">
        <v>316</v>
      </c>
    </row>
    <row r="283" spans="3:3">
      <c r="C283" s="647" t="s">
        <v>315</v>
      </c>
    </row>
    <row r="284" spans="3:3">
      <c r="C284" s="647" t="s">
        <v>314</v>
      </c>
    </row>
    <row r="285" spans="3:3">
      <c r="C285" s="647" t="s">
        <v>313</v>
      </c>
    </row>
    <row r="286" spans="3:3">
      <c r="C286" s="647" t="s">
        <v>312</v>
      </c>
    </row>
    <row r="287" spans="3:3">
      <c r="C287" s="647" t="s">
        <v>311</v>
      </c>
    </row>
    <row r="288" spans="3:3">
      <c r="C288" s="647" t="s">
        <v>310</v>
      </c>
    </row>
    <row r="289" spans="3:3">
      <c r="C289" s="647" t="s">
        <v>309</v>
      </c>
    </row>
    <row r="290" spans="3:3">
      <c r="C290" s="647" t="s">
        <v>308</v>
      </c>
    </row>
    <row r="291" spans="3:3">
      <c r="C291" s="647" t="s">
        <v>307</v>
      </c>
    </row>
    <row r="292" spans="3:3">
      <c r="C292" s="647" t="s">
        <v>306</v>
      </c>
    </row>
    <row r="293" spans="3:3">
      <c r="C293" s="647" t="s">
        <v>305</v>
      </c>
    </row>
    <row r="294" spans="3:3">
      <c r="C294" s="647" t="s">
        <v>304</v>
      </c>
    </row>
    <row r="295" spans="3:3" ht="15.75" thickBot="1">
      <c r="C295" s="648" t="str">
        <f>IF(Indice_index!$Z$1=1,"P014 - Ensino Básico e Secundário e Administração Escolar","P014 - Basic and Secondary Education and School Administration")</f>
        <v>P014 - Basic and Secondary Education and School Administration</v>
      </c>
    </row>
    <row r="296" spans="3:3">
      <c r="C296" s="647" t="s">
        <v>303</v>
      </c>
    </row>
    <row r="297" spans="3:3">
      <c r="C297" s="647" t="s">
        <v>302</v>
      </c>
    </row>
    <row r="298" spans="3:3">
      <c r="C298" s="647" t="s">
        <v>301</v>
      </c>
    </row>
    <row r="299" spans="3:3">
      <c r="C299" s="647" t="s">
        <v>300</v>
      </c>
    </row>
    <row r="300" spans="3:3">
      <c r="C300" s="647" t="s">
        <v>299</v>
      </c>
    </row>
    <row r="301" spans="3:3">
      <c r="C301" s="647" t="s">
        <v>298</v>
      </c>
    </row>
    <row r="302" spans="3:3">
      <c r="C302" s="647" t="s">
        <v>297</v>
      </c>
    </row>
    <row r="303" spans="3:3">
      <c r="C303" s="647" t="s">
        <v>296</v>
      </c>
    </row>
    <row r="304" spans="3:3">
      <c r="C304" s="647" t="s">
        <v>295</v>
      </c>
    </row>
    <row r="305" spans="3:3">
      <c r="C305" s="647" t="s">
        <v>294</v>
      </c>
    </row>
    <row r="306" spans="3:3">
      <c r="C306" s="647" t="s">
        <v>293</v>
      </c>
    </row>
    <row r="307" spans="3:3">
      <c r="C307" s="647" t="s">
        <v>292</v>
      </c>
    </row>
    <row r="308" spans="3:3">
      <c r="C308" s="647" t="s">
        <v>291</v>
      </c>
    </row>
    <row r="309" spans="3:3">
      <c r="C309" s="647" t="s">
        <v>290</v>
      </c>
    </row>
    <row r="310" spans="3:3">
      <c r="C310" s="647" t="s">
        <v>289</v>
      </c>
    </row>
    <row r="311" spans="3:3">
      <c r="C311" s="647" t="s">
        <v>288</v>
      </c>
    </row>
    <row r="312" spans="3:3">
      <c r="C312" s="647" t="s">
        <v>287</v>
      </c>
    </row>
    <row r="313" spans="3:3">
      <c r="C313" s="647" t="s">
        <v>286</v>
      </c>
    </row>
    <row r="314" spans="3:3">
      <c r="C314" s="647" t="s">
        <v>285</v>
      </c>
    </row>
    <row r="315" spans="3:3">
      <c r="C315" s="647" t="s">
        <v>284</v>
      </c>
    </row>
    <row r="316" spans="3:3">
      <c r="C316" s="647" t="s">
        <v>283</v>
      </c>
    </row>
    <row r="317" spans="3:3">
      <c r="C317" s="647" t="s">
        <v>282</v>
      </c>
    </row>
    <row r="318" spans="3:3">
      <c r="C318" s="647" t="s">
        <v>281</v>
      </c>
    </row>
    <row r="319" spans="3:3">
      <c r="C319" s="647" t="s">
        <v>280</v>
      </c>
    </row>
    <row r="320" spans="3:3" ht="15.75" thickBot="1">
      <c r="C320" s="648" t="str">
        <f>IF(Indice_index!$Z$1=1,"P015 - Trabalho, Solidariedade e Seg. Social","P015 - Work, Solidarity and Social Security")</f>
        <v>P015 - Work, Solidarity and Social Security</v>
      </c>
    </row>
    <row r="321" spans="3:3">
      <c r="C321" s="647" t="s">
        <v>279</v>
      </c>
    </row>
    <row r="322" spans="3:3">
      <c r="C322" s="647" t="s">
        <v>278</v>
      </c>
    </row>
    <row r="323" spans="3:3">
      <c r="C323" s="647" t="s">
        <v>277</v>
      </c>
    </row>
    <row r="324" spans="3:3">
      <c r="C324" s="647" t="s">
        <v>276</v>
      </c>
    </row>
    <row r="325" spans="3:3">
      <c r="C325" s="647" t="s">
        <v>275</v>
      </c>
    </row>
    <row r="326" spans="3:3">
      <c r="C326" s="647" t="s">
        <v>274</v>
      </c>
    </row>
    <row r="327" spans="3:3">
      <c r="C327" s="647" t="s">
        <v>273</v>
      </c>
    </row>
    <row r="328" spans="3:3">
      <c r="C328" s="647" t="s">
        <v>272</v>
      </c>
    </row>
    <row r="329" spans="3:3">
      <c r="C329" s="647" t="s">
        <v>271</v>
      </c>
    </row>
    <row r="330" spans="3:3">
      <c r="C330" s="647" t="s">
        <v>270</v>
      </c>
    </row>
    <row r="331" spans="3:3">
      <c r="C331" s="647" t="s">
        <v>269</v>
      </c>
    </row>
    <row r="332" spans="3:3">
      <c r="C332" s="647" t="s">
        <v>268</v>
      </c>
    </row>
    <row r="333" spans="3:3">
      <c r="C333" s="647" t="s">
        <v>267</v>
      </c>
    </row>
    <row r="334" spans="3:3">
      <c r="C334" s="647" t="s">
        <v>266</v>
      </c>
    </row>
    <row r="335" spans="3:3">
      <c r="C335" s="647" t="s">
        <v>265</v>
      </c>
    </row>
    <row r="336" spans="3:3">
      <c r="C336" s="647" t="s">
        <v>264</v>
      </c>
    </row>
    <row r="337" spans="3:3">
      <c r="C337" s="647" t="s">
        <v>263</v>
      </c>
    </row>
    <row r="338" spans="3:3">
      <c r="C338" s="647" t="s">
        <v>262</v>
      </c>
    </row>
    <row r="339" spans="3:3">
      <c r="C339" s="647" t="s">
        <v>261</v>
      </c>
    </row>
    <row r="340" spans="3:3">
      <c r="C340" s="647" t="s">
        <v>260</v>
      </c>
    </row>
    <row r="341" spans="3:3">
      <c r="C341" s="647" t="s">
        <v>259</v>
      </c>
    </row>
    <row r="342" spans="3:3">
      <c r="C342" s="647" t="s">
        <v>258</v>
      </c>
    </row>
    <row r="343" spans="3:3">
      <c r="C343" s="647" t="s">
        <v>257</v>
      </c>
    </row>
    <row r="344" spans="3:3">
      <c r="C344" s="647" t="s">
        <v>256</v>
      </c>
    </row>
    <row r="345" spans="3:3">
      <c r="C345" s="647" t="s">
        <v>255</v>
      </c>
    </row>
    <row r="346" spans="3:3">
      <c r="C346" s="647" t="s">
        <v>254</v>
      </c>
    </row>
    <row r="347" spans="3:3">
      <c r="C347" s="647" t="s">
        <v>253</v>
      </c>
    </row>
    <row r="348" spans="3:3">
      <c r="C348" s="647" t="s">
        <v>252</v>
      </c>
    </row>
    <row r="349" spans="3:3">
      <c r="C349" s="647" t="s">
        <v>251</v>
      </c>
    </row>
    <row r="350" spans="3:3">
      <c r="C350" s="647" t="s">
        <v>250</v>
      </c>
    </row>
    <row r="351" spans="3:3">
      <c r="C351" s="647" t="s">
        <v>249</v>
      </c>
    </row>
    <row r="352" spans="3:3">
      <c r="C352" s="647" t="s">
        <v>248</v>
      </c>
    </row>
    <row r="353" spans="3:3">
      <c r="C353" s="647" t="s">
        <v>247</v>
      </c>
    </row>
    <row r="354" spans="3:3">
      <c r="C354" s="647" t="s">
        <v>246</v>
      </c>
    </row>
    <row r="355" spans="3:3">
      <c r="C355" s="647" t="s">
        <v>245</v>
      </c>
    </row>
    <row r="356" spans="3:3">
      <c r="C356" s="647" t="s">
        <v>244</v>
      </c>
    </row>
    <row r="357" spans="3:3">
      <c r="C357" s="647" t="s">
        <v>243</v>
      </c>
    </row>
    <row r="358" spans="3:3">
      <c r="C358" s="647" t="s">
        <v>242</v>
      </c>
    </row>
    <row r="359" spans="3:3">
      <c r="C359" s="647" t="s">
        <v>241</v>
      </c>
    </row>
    <row r="360" spans="3:3">
      <c r="C360" s="647" t="s">
        <v>240</v>
      </c>
    </row>
    <row r="361" spans="3:3">
      <c r="C361" s="647" t="s">
        <v>239</v>
      </c>
    </row>
    <row r="362" spans="3:3" ht="15.75" thickBot="1">
      <c r="C362" s="648" t="str">
        <f>IF(Indice_index!$Z$1=1,"P016 - Saúde","P016 - Health")</f>
        <v>P016 - Health</v>
      </c>
    </row>
    <row r="363" spans="3:3">
      <c r="C363" s="647" t="s">
        <v>238</v>
      </c>
    </row>
    <row r="364" spans="3:3">
      <c r="C364" s="647" t="s">
        <v>237</v>
      </c>
    </row>
    <row r="365" spans="3:3">
      <c r="C365" s="647" t="s">
        <v>236</v>
      </c>
    </row>
    <row r="366" spans="3:3">
      <c r="C366" s="647" t="s">
        <v>235</v>
      </c>
    </row>
    <row r="367" spans="3:3">
      <c r="C367" s="647" t="s">
        <v>234</v>
      </c>
    </row>
    <row r="368" spans="3:3">
      <c r="C368" s="647" t="s">
        <v>233</v>
      </c>
    </row>
    <row r="369" spans="3:3">
      <c r="C369" s="647" t="s">
        <v>232</v>
      </c>
    </row>
    <row r="370" spans="3:3">
      <c r="C370" s="647" t="s">
        <v>231</v>
      </c>
    </row>
    <row r="371" spans="3:3">
      <c r="C371" s="649" t="s">
        <v>230</v>
      </c>
    </row>
    <row r="372" spans="3:3">
      <c r="C372" s="647" t="s">
        <v>229</v>
      </c>
    </row>
    <row r="373" spans="3:3">
      <c r="C373" s="647" t="s">
        <v>228</v>
      </c>
    </row>
    <row r="374" spans="3:3">
      <c r="C374" s="647" t="s">
        <v>227</v>
      </c>
    </row>
    <row r="375" spans="3:3">
      <c r="C375" s="647" t="s">
        <v>226</v>
      </c>
    </row>
    <row r="376" spans="3:3">
      <c r="C376" s="647" t="s">
        <v>225</v>
      </c>
    </row>
    <row r="377" spans="3:3">
      <c r="C377" s="647" t="s">
        <v>224</v>
      </c>
    </row>
    <row r="378" spans="3:3">
      <c r="C378" s="647" t="s">
        <v>223</v>
      </c>
    </row>
    <row r="379" spans="3:3">
      <c r="C379" s="647" t="s">
        <v>222</v>
      </c>
    </row>
    <row r="380" spans="3:3">
      <c r="C380" s="647" t="s">
        <v>221</v>
      </c>
    </row>
    <row r="381" spans="3:3">
      <c r="C381" s="647" t="s">
        <v>220</v>
      </c>
    </row>
    <row r="382" spans="3:3">
      <c r="C382" s="647" t="s">
        <v>219</v>
      </c>
    </row>
    <row r="383" spans="3:3">
      <c r="C383" s="647" t="s">
        <v>218</v>
      </c>
    </row>
    <row r="384" spans="3:3">
      <c r="C384" s="647" t="s">
        <v>217</v>
      </c>
    </row>
    <row r="385" spans="3:3">
      <c r="C385" s="647" t="s">
        <v>216</v>
      </c>
    </row>
    <row r="386" spans="3:3">
      <c r="C386" s="647" t="s">
        <v>215</v>
      </c>
    </row>
    <row r="387" spans="3:3">
      <c r="C387" s="647" t="s">
        <v>214</v>
      </c>
    </row>
    <row r="388" spans="3:3">
      <c r="C388" s="647" t="s">
        <v>213</v>
      </c>
    </row>
    <row r="389" spans="3:3">
      <c r="C389" s="647" t="s">
        <v>212</v>
      </c>
    </row>
    <row r="390" spans="3:3">
      <c r="C390" s="647" t="s">
        <v>211</v>
      </c>
    </row>
    <row r="391" spans="3:3">
      <c r="C391" s="647" t="s">
        <v>210</v>
      </c>
    </row>
    <row r="392" spans="3:3">
      <c r="C392" s="647" t="s">
        <v>209</v>
      </c>
    </row>
    <row r="393" spans="3:3">
      <c r="C393" s="647" t="s">
        <v>208</v>
      </c>
    </row>
    <row r="394" spans="3:3">
      <c r="C394" s="647" t="s">
        <v>207</v>
      </c>
    </row>
    <row r="395" spans="3:3">
      <c r="C395" s="647" t="s">
        <v>206</v>
      </c>
    </row>
    <row r="396" spans="3:3">
      <c r="C396" s="647" t="s">
        <v>205</v>
      </c>
    </row>
    <row r="397" spans="3:3">
      <c r="C397" s="647" t="s">
        <v>204</v>
      </c>
    </row>
    <row r="398" spans="3:3">
      <c r="C398" s="647" t="s">
        <v>203</v>
      </c>
    </row>
    <row r="399" spans="3:3">
      <c r="C399" s="647" t="s">
        <v>202</v>
      </c>
    </row>
    <row r="400" spans="3:3">
      <c r="C400" s="647" t="s">
        <v>201</v>
      </c>
    </row>
    <row r="401" spans="3:3">
      <c r="C401" s="647" t="s">
        <v>200</v>
      </c>
    </row>
    <row r="402" spans="3:3">
      <c r="C402" s="647" t="s">
        <v>199</v>
      </c>
    </row>
    <row r="403" spans="3:3">
      <c r="C403" s="647" t="s">
        <v>198</v>
      </c>
    </row>
    <row r="404" spans="3:3">
      <c r="C404" s="647" t="s">
        <v>197</v>
      </c>
    </row>
    <row r="405" spans="3:3">
      <c r="C405" s="647" t="s">
        <v>196</v>
      </c>
    </row>
    <row r="406" spans="3:3">
      <c r="C406" s="647" t="s">
        <v>195</v>
      </c>
    </row>
    <row r="407" spans="3:3">
      <c r="C407" s="647" t="s">
        <v>194</v>
      </c>
    </row>
    <row r="408" spans="3:3">
      <c r="C408" s="647" t="s">
        <v>193</v>
      </c>
    </row>
    <row r="409" spans="3:3">
      <c r="C409" s="647" t="s">
        <v>192</v>
      </c>
    </row>
    <row r="410" spans="3:3">
      <c r="C410" s="647" t="s">
        <v>191</v>
      </c>
    </row>
    <row r="411" spans="3:3">
      <c r="C411" s="647" t="s">
        <v>190</v>
      </c>
    </row>
    <row r="412" spans="3:3">
      <c r="C412" s="647" t="s">
        <v>189</v>
      </c>
    </row>
    <row r="413" spans="3:3">
      <c r="C413" s="647" t="s">
        <v>188</v>
      </c>
    </row>
    <row r="414" spans="3:3">
      <c r="C414" s="647" t="s">
        <v>187</v>
      </c>
    </row>
    <row r="415" spans="3:3">
      <c r="C415" s="647" t="s">
        <v>186</v>
      </c>
    </row>
    <row r="416" spans="3:3">
      <c r="C416" s="647" t="s">
        <v>185</v>
      </c>
    </row>
    <row r="417" spans="3:3">
      <c r="C417" s="647" t="s">
        <v>184</v>
      </c>
    </row>
    <row r="418" spans="3:3">
      <c r="C418" s="647" t="s">
        <v>183</v>
      </c>
    </row>
    <row r="419" spans="3:3">
      <c r="C419" s="647" t="s">
        <v>182</v>
      </c>
    </row>
    <row r="420" spans="3:3">
      <c r="C420" s="647" t="s">
        <v>181</v>
      </c>
    </row>
    <row r="421" spans="3:3">
      <c r="C421" s="647" t="s">
        <v>180</v>
      </c>
    </row>
    <row r="422" spans="3:3">
      <c r="C422" s="647" t="s">
        <v>179</v>
      </c>
    </row>
    <row r="423" spans="3:3">
      <c r="C423" s="647" t="s">
        <v>178</v>
      </c>
    </row>
    <row r="424" spans="3:3">
      <c r="C424" s="647" t="s">
        <v>177</v>
      </c>
    </row>
    <row r="425" spans="3:3">
      <c r="C425" s="647" t="s">
        <v>176</v>
      </c>
    </row>
    <row r="426" spans="3:3">
      <c r="C426" s="647" t="s">
        <v>175</v>
      </c>
    </row>
    <row r="427" spans="3:3">
      <c r="C427" s="647" t="s">
        <v>174</v>
      </c>
    </row>
    <row r="428" spans="3:3">
      <c r="C428" s="647" t="s">
        <v>173</v>
      </c>
    </row>
    <row r="429" spans="3:3" ht="15.75" thickBot="1">
      <c r="C429" s="648" t="str">
        <f>IF(Indice_index!$Z$1=1,"P017 - Ambiente e Ação Climática","P017 -  Environment and Climate Action")</f>
        <v>P017 -  Environment and Climate Action</v>
      </c>
    </row>
    <row r="430" spans="3:3">
      <c r="C430" s="647" t="s">
        <v>172</v>
      </c>
    </row>
    <row r="431" spans="3:3">
      <c r="C431" s="647" t="s">
        <v>171</v>
      </c>
    </row>
    <row r="432" spans="3:3">
      <c r="C432" s="647" t="s">
        <v>170</v>
      </c>
    </row>
    <row r="433" spans="3:3">
      <c r="C433" s="647" t="s">
        <v>169</v>
      </c>
    </row>
    <row r="434" spans="3:3">
      <c r="C434" s="647" t="s">
        <v>168</v>
      </c>
    </row>
    <row r="435" spans="3:3">
      <c r="C435" s="647" t="s">
        <v>167</v>
      </c>
    </row>
    <row r="436" spans="3:3">
      <c r="C436" s="647" t="s">
        <v>166</v>
      </c>
    </row>
    <row r="437" spans="3:3">
      <c r="C437" s="647" t="s">
        <v>165</v>
      </c>
    </row>
    <row r="438" spans="3:3">
      <c r="C438" s="647" t="s">
        <v>164</v>
      </c>
    </row>
    <row r="439" spans="3:3">
      <c r="C439" s="647" t="s">
        <v>163</v>
      </c>
    </row>
    <row r="440" spans="3:3">
      <c r="C440" s="647" t="s">
        <v>162</v>
      </c>
    </row>
    <row r="441" spans="3:3">
      <c r="C441" s="647" t="s">
        <v>161</v>
      </c>
    </row>
    <row r="442" spans="3:3">
      <c r="C442" s="647" t="s">
        <v>160</v>
      </c>
    </row>
    <row r="443" spans="3:3">
      <c r="C443" s="647" t="s">
        <v>159</v>
      </c>
    </row>
    <row r="444" spans="3:3">
      <c r="C444" s="647" t="s">
        <v>158</v>
      </c>
    </row>
    <row r="445" spans="3:3">
      <c r="C445" s="647" t="s">
        <v>157</v>
      </c>
    </row>
    <row r="446" spans="3:3">
      <c r="C446" s="647" t="s">
        <v>156</v>
      </c>
    </row>
    <row r="447" spans="3:3">
      <c r="C447" s="647" t="s">
        <v>155</v>
      </c>
    </row>
    <row r="448" spans="3:3">
      <c r="C448" s="647" t="s">
        <v>154</v>
      </c>
    </row>
    <row r="449" spans="3:3">
      <c r="C449" s="647" t="s">
        <v>153</v>
      </c>
    </row>
    <row r="450" spans="3:3">
      <c r="C450" s="647" t="s">
        <v>152</v>
      </c>
    </row>
    <row r="451" spans="3:3">
      <c r="C451" s="647" t="s">
        <v>151</v>
      </c>
    </row>
    <row r="452" spans="3:3">
      <c r="C452" s="647" t="s">
        <v>150</v>
      </c>
    </row>
    <row r="453" spans="3:3">
      <c r="C453" s="647" t="s">
        <v>149</v>
      </c>
    </row>
    <row r="454" spans="3:3">
      <c r="C454" s="647" t="s">
        <v>148</v>
      </c>
    </row>
    <row r="455" spans="3:3">
      <c r="C455" s="647" t="s">
        <v>147</v>
      </c>
    </row>
    <row r="456" spans="3:3">
      <c r="C456" s="647" t="s">
        <v>146</v>
      </c>
    </row>
    <row r="457" spans="3:3">
      <c r="C457" s="647" t="s">
        <v>145</v>
      </c>
    </row>
    <row r="458" spans="3:3" ht="15" customHeight="1">
      <c r="C458" s="647" t="s">
        <v>144</v>
      </c>
    </row>
    <row r="459" spans="3:3">
      <c r="C459" s="647" t="s">
        <v>143</v>
      </c>
    </row>
    <row r="460" spans="3:3">
      <c r="C460" s="647" t="s">
        <v>142</v>
      </c>
    </row>
    <row r="461" spans="3:3">
      <c r="C461" s="647" t="s">
        <v>141</v>
      </c>
    </row>
    <row r="462" spans="3:3">
      <c r="C462" s="647" t="s">
        <v>140</v>
      </c>
    </row>
    <row r="463" spans="3:3" ht="15.75" thickBot="1">
      <c r="C463" s="648" t="str">
        <f>IF(Indice_index!$Z$1=1,"P018 - Infraestruturas e Habitação","P018 - Infrastructures and Housing")</f>
        <v>P018 - Infrastructures and Housing</v>
      </c>
    </row>
    <row r="464" spans="3:3">
      <c r="C464" s="647" t="s">
        <v>139</v>
      </c>
    </row>
    <row r="465" spans="3:3">
      <c r="C465" s="647" t="s">
        <v>138</v>
      </c>
    </row>
    <row r="466" spans="3:3">
      <c r="C466" s="647" t="s">
        <v>137</v>
      </c>
    </row>
    <row r="467" spans="3:3">
      <c r="C467" s="647" t="s">
        <v>136</v>
      </c>
    </row>
    <row r="468" spans="3:3">
      <c r="C468" s="647" t="s">
        <v>135</v>
      </c>
    </row>
    <row r="469" spans="3:3">
      <c r="C469" s="647" t="s">
        <v>134</v>
      </c>
    </row>
    <row r="470" spans="3:3">
      <c r="C470" s="647" t="s">
        <v>133</v>
      </c>
    </row>
    <row r="471" spans="3:3">
      <c r="C471" s="647" t="s">
        <v>132</v>
      </c>
    </row>
    <row r="472" spans="3:3">
      <c r="C472" s="647" t="s">
        <v>131</v>
      </c>
    </row>
    <row r="473" spans="3:3">
      <c r="C473" s="647" t="s">
        <v>130</v>
      </c>
    </row>
    <row r="474" spans="3:3">
      <c r="C474" s="647" t="s">
        <v>129</v>
      </c>
    </row>
    <row r="475" spans="3:3">
      <c r="C475" s="647" t="s">
        <v>128</v>
      </c>
    </row>
    <row r="476" spans="3:3">
      <c r="C476" s="647" t="s">
        <v>127</v>
      </c>
    </row>
    <row r="477" spans="3:3">
      <c r="C477" s="647" t="s">
        <v>126</v>
      </c>
    </row>
    <row r="478" spans="3:3">
      <c r="C478" s="647" t="s">
        <v>125</v>
      </c>
    </row>
    <row r="479" spans="3:3">
      <c r="C479" s="647" t="s">
        <v>124</v>
      </c>
    </row>
    <row r="480" spans="3:3" ht="15.75" thickBot="1">
      <c r="C480" s="648" t="str">
        <f>IF(Indice_index!$Z$1=1,"P020 - Agricultura","P020 - Agriculture")</f>
        <v>P020 - Agriculture</v>
      </c>
    </row>
    <row r="481" spans="3:3">
      <c r="C481" s="647" t="s">
        <v>123</v>
      </c>
    </row>
    <row r="482" spans="3:3">
      <c r="C482" s="647" t="s">
        <v>122</v>
      </c>
    </row>
    <row r="483" spans="3:3">
      <c r="C483" s="647" t="s">
        <v>121</v>
      </c>
    </row>
    <row r="484" spans="3:3">
      <c r="C484" s="647" t="s">
        <v>120</v>
      </c>
    </row>
    <row r="485" spans="3:3">
      <c r="C485" s="647" t="s">
        <v>119</v>
      </c>
    </row>
    <row r="486" spans="3:3">
      <c r="C486" s="647" t="s">
        <v>118</v>
      </c>
    </row>
    <row r="487" spans="3:3">
      <c r="C487" s="647" t="s">
        <v>117</v>
      </c>
    </row>
    <row r="488" spans="3:3">
      <c r="C488" s="647" t="s">
        <v>116</v>
      </c>
    </row>
    <row r="489" spans="3:3">
      <c r="C489" s="647" t="s">
        <v>115</v>
      </c>
    </row>
    <row r="490" spans="3:3">
      <c r="C490" s="647" t="s">
        <v>114</v>
      </c>
    </row>
    <row r="491" spans="3:3">
      <c r="C491" s="647" t="s">
        <v>113</v>
      </c>
    </row>
    <row r="492" spans="3:3">
      <c r="C492" s="647" t="s">
        <v>112</v>
      </c>
    </row>
    <row r="493" spans="3:3">
      <c r="C493" s="647" t="s">
        <v>111</v>
      </c>
    </row>
    <row r="494" spans="3:3">
      <c r="C494" s="647" t="s">
        <v>110</v>
      </c>
    </row>
    <row r="495" spans="3:3">
      <c r="C495" s="647" t="s">
        <v>109</v>
      </c>
    </row>
    <row r="496" spans="3:3">
      <c r="C496" s="647" t="s">
        <v>108</v>
      </c>
    </row>
    <row r="497" spans="3:3" ht="15.75" thickBot="1">
      <c r="C497" s="648" t="str">
        <f>IF(Indice_index!$Z$1=1,"P021 - Mar","P021 - Sea")</f>
        <v>P021 - Sea</v>
      </c>
    </row>
    <row r="498" spans="3:3">
      <c r="C498" s="647" t="s">
        <v>107</v>
      </c>
    </row>
    <row r="499" spans="3:3">
      <c r="C499" s="647" t="s">
        <v>106</v>
      </c>
    </row>
    <row r="500" spans="3:3">
      <c r="C500" s="647" t="s">
        <v>105</v>
      </c>
    </row>
    <row r="501" spans="3:3">
      <c r="C501" s="647" t="s">
        <v>104</v>
      </c>
    </row>
    <row r="502" spans="3:3">
      <c r="C502" s="647" t="s">
        <v>103</v>
      </c>
    </row>
    <row r="503" spans="3:3">
      <c r="C503" s="647" t="s">
        <v>102</v>
      </c>
    </row>
    <row r="504" spans="3:3">
      <c r="C504" s="647" t="s">
        <v>101</v>
      </c>
    </row>
    <row r="505" spans="3:3">
      <c r="C505" s="647" t="s">
        <v>100</v>
      </c>
    </row>
    <row r="506" spans="3:3">
      <c r="C506" s="647" t="s">
        <v>99</v>
      </c>
    </row>
    <row r="507" spans="3:3">
      <c r="C507" s="647" t="s">
        <v>98</v>
      </c>
    </row>
    <row r="508" spans="3:3" ht="8.25" customHeight="1"/>
    <row r="509" spans="3:3" ht="8.25" customHeight="1"/>
    <row r="510" spans="3:3">
      <c r="C510" s="641" t="str">
        <f>IF(Indice_index!$Z$1=1,"Notas:","Notes:")</f>
        <v>Notes:</v>
      </c>
    </row>
    <row r="511" spans="3:3" ht="38.25" customHeight="1">
      <c r="C511" s="678" t="str">
        <f>IF(Indice_index!$Z$1=1,_xlfn.CONCAT("- A presente listagem apresenta as entidades da Administração Central que integram o Orçamento do Estado durante o regime transitório de execução orçamental previsto no artigo 58.º da Lei n.º 151/2015,"," de 11 de setembro, na sua redação atual, aplicável até à entrada em vigor da lei do Orçamento do Estado para 2022."),_xlfn.CONCAT("- This list presents the Central Administration entities included in the State Budget perimeter during the transitional regime of budget execution provided for in article 58 of Law No. 151/2015,"," of 11th September, in its current wording, applicable until the entry into force of 2022 State Budget Law."))</f>
        <v>- This list presents the Central Administration entities included in the State Budget perimeter during the transitional regime of budget execution provided for in article 58 of Law No. 151/2015, of 11th September, in its current wording, applicable until the entry into force of 2022 State Budget Law.</v>
      </c>
    </row>
    <row r="512" spans="3:3" ht="8.25" customHeight="1"/>
    <row r="513" spans="3:3">
      <c r="C513" s="679" t="str">
        <f>IF(Indice_index!$Z$1=1,"Alterações:","Changes:")</f>
        <v>Changes:</v>
      </c>
    </row>
    <row r="514" spans="3:3">
      <c r="C514" s="680" t="str">
        <f>IF(Indice_index!$Z$1=1,"a) Parbanca  SGPS, S.A.– Entidade extinta.","a) Parbanca  SGPS, S.A.– Extinguished entity.")</f>
        <v>a) Parbanca  SGPS, S.A.– Extinguished entity.</v>
      </c>
    </row>
    <row r="515" spans="3:3">
      <c r="C515" s="680" t="str">
        <f>IF(Indice_index!$Z$1=1,"b) EMPORDEF- Engenharia Naval, S.A. – Entidade extinta.","b) EMPORDEF- Engenharia Naval, S.A. – Extinguished entity.")</f>
        <v>b) EMPORDEF- Engenharia Naval, S.A. – Extinguished entity.</v>
      </c>
    </row>
    <row r="516" spans="3:3" ht="59.45" customHeight="1">
      <c r="C516" s="680" t="str">
        <f>IF(Indice_index!$Z$1=1,_xlfn.CONCAT("c) Instituição Financeira de Desenvolvimento, S.A. e SPGM – Sociedade de Investimento, S.A. –  O Decreto-Lei n.º 63/2020, de 7 de setembro, determinou a fusão por incorporação da IFD - Instituição Financeira de Desenvolvimento, S. A.,"," (bem como da PME Investimentos - Sociedade de Investimento, S. A.) na SPGM - Sociedade de Investimento, S. A., constituindo-se assim o Banco Português de Fomento, S. A., cuja atividade e o funcionamento são regulados pelo referido diploma legal,"," o qual não integra o perímetro do Orçamento do Estado."),_xlfn.CONCAT("c) Instituição Financeira de Desenvolvimento, S.A. and SPGM – Sociedade de Investimento, S.A. –  Decree-Law No. 63/2020, of 7 September, determined the merger by incorporation of IFD - Instituto Financeira de Desenvolvimento, SA,"," (as well as PME Investimentos - Sociedade de Investimento, SA) into SPGM - Sociedade de Investimento , SA, thus constituting Banco Português de Fomento, SA, whose activity and functioning are regulated by the aforementioned legal diploma"," and is not included in the scope of the State Budget perimeter."))</f>
        <v>c) Instituição Financeira de Desenvolvimento, S.A. and SPGM – Sociedade de Investimento, S.A. –  Decree-Law No. 63/2020, of 7 September, determined the merger by incorporation of IFD - Instituto Financeira de Desenvolvimento, SA, (as well as PME Investimentos - Sociedade de Investimento, SA) into SPGM - Sociedade de Investimento , SA, thus constituting Banco Português de Fomento, SA, whose activity and functioning are regulated by the aforementioned legal diploma and is not included in the scope of the State Budget perimeter.</v>
      </c>
    </row>
    <row r="517" spans="3:3" ht="19.899999999999999" customHeight="1">
      <c r="C517" s="680" t="str">
        <f>IF(Indice_index!$Z$1=1,"d) Mobi.E, S.A – Entidade extinta.","d) Mobi.E, S.A – Extinguished entity")</f>
        <v>d) Mobi.E, S.A – Extinguished entity</v>
      </c>
    </row>
    <row r="518" spans="3:3" ht="21.6" customHeight="1">
      <c r="C518" s="680" t="str">
        <f>IF(Indice_index!$Z$1=1,"e) Estrutura de Missão para a Presidência Portuguesa do Conselho da União Europeia em 2021, criada pela Resolução do Conselho de Ministros n.º 51/2019, de 6 de março, cujo mandato terminou em 31 de dezembro de 2021.","e) Mission Structure for the Portuguese Presidency of the Council of the European Union in 2021, created by the Resolution of the Council of Ministers No. 51/2019, of 6 March, whose term ended on 31 December 2021.")</f>
        <v>e) Mission Structure for the Portuguese Presidency of the Council of the European Union in 2021, created by the Resolution of the Council of Ministers No. 51/2019, of 6 March, whose term ended on 31 December 2021.</v>
      </c>
    </row>
    <row r="519" spans="3:3">
      <c r="C519" s="719" t="s">
        <v>591</v>
      </c>
    </row>
  </sheetData>
  <printOptions horizontalCentered="1"/>
  <pageMargins left="0.70866141732283472" right="0.70866141732283472" top="0.74803149606299213" bottom="0.74803149606299213" header="0.74803149606299213" footer="0.35433070866141736"/>
  <pageSetup paperSize="9" scale="68" fitToHeight="8" orientation="portrait" r:id="rId1"/>
  <headerFooter differentOddEven="1">
    <oddFooter>&amp;R&amp;G</oddFooter>
    <evenFooter>&amp;L&amp;G</evenFooter>
  </headerFooter>
  <rowBreaks count="7" manualBreakCount="7">
    <brk id="69" max="3" man="1"/>
    <brk id="138" max="3" man="1"/>
    <brk id="207" max="3" man="1"/>
    <brk id="276" max="3" man="1"/>
    <brk id="345" max="3" man="1"/>
    <brk id="414" max="3" man="1"/>
    <brk id="483"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5546875" defaultRowHeight="15"/>
  <cols>
    <col min="1" max="1" width="3.42578125" style="515" customWidth="1"/>
    <col min="2" max="2" width="4.42578125" style="515" customWidth="1"/>
    <col min="3" max="3" width="1.42578125" style="515" customWidth="1"/>
    <col min="4" max="5" width="3.85546875" style="515" customWidth="1"/>
    <col min="6" max="6" width="2.42578125" style="515" customWidth="1"/>
    <col min="7" max="7" width="32.42578125" style="515" customWidth="1"/>
    <col min="8" max="15" width="9.5703125" style="515" customWidth="1"/>
    <col min="16" max="20" width="8.85546875" style="515"/>
    <col min="21" max="22" width="10" style="516" customWidth="1"/>
    <col min="23" max="16384" width="8.85546875" style="515"/>
  </cols>
  <sheetData>
    <row r="1" spans="2:22" ht="15" customHeight="1"/>
    <row r="2" spans="2:22" ht="24" customHeight="1">
      <c r="B2" s="8"/>
      <c r="C2" s="527" t="str">
        <f>IF(Indice_index!$Z$1=1,"1 - Receita, despesa e saldo das Administrações Públicas","1 - General Government revenue, expenditure and balance")</f>
        <v>1 - General Government revenue, expenditure and balance</v>
      </c>
      <c r="D2" s="527"/>
      <c r="E2" s="527"/>
      <c r="F2" s="527"/>
      <c r="G2" s="527"/>
      <c r="H2" s="525"/>
      <c r="I2" s="525"/>
      <c r="J2" s="526"/>
      <c r="K2" s="525"/>
      <c r="L2" s="525"/>
      <c r="M2" s="525"/>
      <c r="N2" s="525"/>
      <c r="O2" s="525"/>
      <c r="P2" s="524"/>
      <c r="U2" s="524"/>
      <c r="V2" s="524"/>
    </row>
    <row r="3" spans="2:22" s="17" customFormat="1" ht="15" customHeight="1">
      <c r="C3" s="523"/>
      <c r="H3" s="515"/>
      <c r="I3" s="515"/>
      <c r="K3" s="515"/>
      <c r="L3" s="515"/>
      <c r="M3" s="515"/>
      <c r="N3" s="515"/>
      <c r="O3" s="515"/>
      <c r="U3" s="516"/>
      <c r="V3" s="516"/>
    </row>
    <row r="4" spans="2:22" s="521" customFormat="1" ht="15" customHeight="1">
      <c r="U4" s="522"/>
      <c r="V4" s="522"/>
    </row>
    <row r="5" spans="2:22" s="544" customFormat="1" ht="15" customHeight="1">
      <c r="B5" s="543"/>
      <c r="C5" s="871" t="str">
        <f>+'5 - Conta AC + SS'!C5</f>
        <v>Period: January to May</v>
      </c>
      <c r="D5" s="1557"/>
      <c r="E5" s="1557"/>
      <c r="F5" s="1557"/>
      <c r="G5" s="1557"/>
      <c r="H5" s="1558"/>
      <c r="I5" s="1558"/>
      <c r="J5" s="1558"/>
      <c r="K5" s="1558"/>
      <c r="L5" s="1558"/>
      <c r="M5" s="1558"/>
      <c r="N5" s="1559"/>
      <c r="O5" s="1560" t="str">
        <f>IF(Indice_index!$Z$1=1,"€ Milhões","€ Millions")</f>
        <v>€ Millions</v>
      </c>
      <c r="U5" s="250"/>
      <c r="V5" s="250"/>
    </row>
    <row r="6" spans="2:22" s="544" customFormat="1" ht="21.75" customHeight="1">
      <c r="B6" s="545"/>
      <c r="C6" s="1561"/>
      <c r="D6" s="1561"/>
      <c r="E6" s="1561"/>
      <c r="F6" s="1561"/>
      <c r="G6" s="1561"/>
      <c r="H6" s="1630" t="str">
        <f>IF(Indice_index!$Z$1=1,"Saldo","Overall balance")</f>
        <v>Overall balance</v>
      </c>
      <c r="I6" s="1630"/>
      <c r="J6" s="1630" t="str">
        <f>IF(Indice_index!$Z$1=1,"Receita","Revenue")</f>
        <v>Revenue</v>
      </c>
      <c r="K6" s="1630"/>
      <c r="L6" s="1630" t="str">
        <f>IF(Indice_index!$Z$1=1,"Despesa","Expenditure")</f>
        <v>Expenditure</v>
      </c>
      <c r="M6" s="1630"/>
      <c r="N6" s="1631" t="str">
        <f>IF(Indice_index!$Z$1=1,"Variação Homóloga Acumulada (%)","YOY Change Rate (%)")</f>
        <v>YOY Change Rate (%)</v>
      </c>
      <c r="O6" s="1632"/>
      <c r="U6" s="1629"/>
      <c r="V6" s="1629"/>
    </row>
    <row r="7" spans="2:22" s="521" customFormat="1" ht="16.350000000000001" customHeight="1">
      <c r="B7" s="546"/>
      <c r="C7" s="1562"/>
      <c r="D7" s="1562"/>
      <c r="E7" s="1562"/>
      <c r="F7" s="1562"/>
      <c r="G7" s="1562"/>
      <c r="H7" s="1563" t="str">
        <f>IF(Indice_index!$Z$1=1,"2021","2021")</f>
        <v>2021</v>
      </c>
      <c r="I7" s="1563" t="str">
        <f>IF(Indice_index!$Z$1=1,"2022","2022")</f>
        <v>2022</v>
      </c>
      <c r="J7" s="1563" t="str">
        <f>IF(Indice_index!$Z$1=1,"2021","2022")</f>
        <v>2022</v>
      </c>
      <c r="K7" s="1563" t="str">
        <f>IF(Indice_index!$Z$1=1,"2022","2022")</f>
        <v>2022</v>
      </c>
      <c r="L7" s="1563" t="str">
        <f>IF(Indice_index!$Z$1=1,"2021","2021")</f>
        <v>2021</v>
      </c>
      <c r="M7" s="1563" t="str">
        <f>IF(Indice_index!$Z$1=1,"2022","2022")</f>
        <v>2022</v>
      </c>
      <c r="N7" s="1564" t="str">
        <f>IF(Indice_index!$Z$1=1,"Receita","Revenue")</f>
        <v>Revenue</v>
      </c>
      <c r="O7" s="1565" t="str">
        <f>IF(Indice_index!$Z$1=1,"Despesa","Expenditure")</f>
        <v>Expenditure</v>
      </c>
      <c r="U7" s="547"/>
      <c r="V7" s="547"/>
    </row>
    <row r="8" spans="2:22" s="521" customFormat="1" ht="15" customHeight="1">
      <c r="B8" s="548"/>
      <c r="C8" s="1566"/>
      <c r="D8" s="1566" t="str">
        <f>IF(Indice_index!$Z$1=1,"Administração Central e Segurança Social","Central Government and Social Security")</f>
        <v>Central Government and Social Security</v>
      </c>
      <c r="E8" s="1566"/>
      <c r="F8" s="1566"/>
      <c r="G8" s="1566"/>
      <c r="H8" s="1567">
        <f t="shared" ref="H8:H16" si="0">+J8-L8</f>
        <v>-5441.6824300099797</v>
      </c>
      <c r="I8" s="1567">
        <f t="shared" ref="I8:I16" si="1">+K8-M8</f>
        <v>-321.45344819001184</v>
      </c>
      <c r="J8" s="1567">
        <f>+'5 - Conta AC + SS'!E27</f>
        <v>29105.80046291</v>
      </c>
      <c r="K8" s="1567">
        <f>+'5 - Conta AC + SS'!F27</f>
        <v>33813.139220589997</v>
      </c>
      <c r="L8" s="1567">
        <f>+'5 - Conta AC + SS'!E50</f>
        <v>34547.482892919979</v>
      </c>
      <c r="M8" s="1567">
        <f>+'5 - Conta AC + SS'!F50</f>
        <v>34134.592668780009</v>
      </c>
      <c r="N8" s="1568">
        <f t="shared" ref="N8:N16" si="2">+IFERROR((K8-J8)/J8*100,"-")</f>
        <v>16.173198066408233</v>
      </c>
      <c r="O8" s="1568">
        <f t="shared" ref="O8:O16" si="3">+IFERROR((M8-L8)/L8*100,"-")</f>
        <v>-1.1951383706295609</v>
      </c>
      <c r="U8" s="549"/>
      <c r="V8" s="549"/>
    </row>
    <row r="9" spans="2:22" s="521" customFormat="1" ht="15" customHeight="1">
      <c r="B9" s="548"/>
      <c r="C9" s="1569"/>
      <c r="D9" s="1569"/>
      <c r="E9" s="1570" t="str">
        <f>IF(Indice_index!$Z$1=1,"Administração Central (AC)","Central Government (CG)")</f>
        <v>Central Government (CG)</v>
      </c>
      <c r="F9" s="1570"/>
      <c r="G9" s="1570"/>
      <c r="H9" s="1571">
        <f t="shared" si="0"/>
        <v>-5740.7479174599794</v>
      </c>
      <c r="I9" s="1571">
        <f t="shared" si="1"/>
        <v>-2364.7746578200058</v>
      </c>
      <c r="J9" s="1571">
        <f>+'6 - Conta AC'!E26</f>
        <v>21234.055503509997</v>
      </c>
      <c r="K9" s="1571">
        <f>+'6 - Conta AC'!F26</f>
        <v>25148.596819500002</v>
      </c>
      <c r="L9" s="1571">
        <f>+'6 - Conta AC'!E49</f>
        <v>26974.803420969976</v>
      </c>
      <c r="M9" s="1571">
        <f>+'6 - Conta AC'!F49</f>
        <v>27513.371477320008</v>
      </c>
      <c r="N9" s="1572">
        <f t="shared" si="2"/>
        <v>18.435203371032586</v>
      </c>
      <c r="O9" s="1572">
        <f t="shared" si="3"/>
        <v>1.9965597077580695</v>
      </c>
      <c r="Q9" s="550"/>
      <c r="U9" s="549"/>
      <c r="V9" s="549"/>
    </row>
    <row r="10" spans="2:22" s="521" customFormat="1" ht="15" customHeight="1">
      <c r="B10" s="548"/>
      <c r="C10" s="1569"/>
      <c r="D10" s="1569"/>
      <c r="E10" s="1569"/>
      <c r="F10" s="1573" t="str">
        <f>IF(Indice_index!$Z$1=1,"Subsetor Estado / Serviços integrados","State subsector")</f>
        <v>State subsector</v>
      </c>
      <c r="G10" s="1573"/>
      <c r="H10" s="1574">
        <f t="shared" si="0"/>
        <v>-6373.6777587300021</v>
      </c>
      <c r="I10" s="1574">
        <f t="shared" si="1"/>
        <v>-3147.4944316300061</v>
      </c>
      <c r="J10" s="1574">
        <f>+'7 - Estado'!E32</f>
        <v>16399.730056680004</v>
      </c>
      <c r="K10" s="1574">
        <f>+'7 - Estado'!F32</f>
        <v>19743.927169930001</v>
      </c>
      <c r="L10" s="1574">
        <f>+'7 - Estado'!E59</f>
        <v>22773.407815410006</v>
      </c>
      <c r="M10" s="1574">
        <f>+'7 - Estado'!F59</f>
        <v>22891.421601560007</v>
      </c>
      <c r="N10" s="1575">
        <f t="shared" si="2"/>
        <v>20.391781460377299</v>
      </c>
      <c r="O10" s="1575">
        <f t="shared" si="3"/>
        <v>0.5182087244322946</v>
      </c>
      <c r="Q10" s="550"/>
      <c r="U10" s="551"/>
      <c r="V10" s="551"/>
    </row>
    <row r="11" spans="2:22" s="521" customFormat="1" ht="15" customHeight="1">
      <c r="B11" s="548"/>
      <c r="C11" s="1569"/>
      <c r="D11" s="1569"/>
      <c r="E11" s="1569"/>
      <c r="F11" s="1576" t="str">
        <f>IF(Indice_index!$Z$1=1,"Serviços e Fundos Autónomos","Autonomous Services and Funds")</f>
        <v>Autonomous Services and Funds</v>
      </c>
      <c r="G11" s="1576"/>
      <c r="H11" s="1574">
        <f t="shared" si="0"/>
        <v>632.92984127003365</v>
      </c>
      <c r="I11" s="1574">
        <f t="shared" si="1"/>
        <v>782.71977381000397</v>
      </c>
      <c r="J11" s="1574">
        <f>+'9 - SFA'!E32</f>
        <v>13146.387582880001</v>
      </c>
      <c r="K11" s="1574">
        <f>+'9 - SFA'!F32</f>
        <v>13636.709896700002</v>
      </c>
      <c r="L11" s="1574">
        <f>+'9 - SFA'!E59</f>
        <v>12513.457741609967</v>
      </c>
      <c r="M11" s="1574">
        <f>+'9 - SFA'!F59</f>
        <v>12853.990122889998</v>
      </c>
      <c r="N11" s="1575">
        <f t="shared" si="2"/>
        <v>3.72971138062693</v>
      </c>
      <c r="O11" s="1575">
        <f t="shared" si="3"/>
        <v>2.7213292146077777</v>
      </c>
      <c r="Q11" s="550"/>
      <c r="U11" s="551"/>
      <c r="V11" s="551"/>
    </row>
    <row r="12" spans="2:22" s="521" customFormat="1" ht="15" customHeight="1">
      <c r="B12" s="548"/>
      <c r="C12" s="1569"/>
      <c r="D12" s="1569"/>
      <c r="E12" s="1569"/>
      <c r="F12" s="1577"/>
      <c r="G12" s="1578" t="str">
        <f>IF(Indice_index!$Z$1=1,"do qual: Entidades Públicas Reclassificadas (EPR)","of which: CG reclassified State Owned Enterprises")</f>
        <v>of which: CG reclassified State Owned Enterprises</v>
      </c>
      <c r="H12" s="1579">
        <f t="shared" si="0"/>
        <v>-192.86952308999935</v>
      </c>
      <c r="I12" s="1579">
        <f t="shared" si="1"/>
        <v>-52.276032559992927</v>
      </c>
      <c r="J12" s="1579">
        <f>+'10 - EPR'!E32</f>
        <v>4188.1866806499984</v>
      </c>
      <c r="K12" s="1579">
        <f>+'10 - EPR'!F32</f>
        <v>4299.5666177600033</v>
      </c>
      <c r="L12" s="1579">
        <f>+'10 - EPR'!E59</f>
        <v>4381.0562037399977</v>
      </c>
      <c r="M12" s="1579">
        <f>+'10 - EPR'!F59</f>
        <v>4351.8426503199962</v>
      </c>
      <c r="N12" s="1580">
        <f t="shared" si="2"/>
        <v>2.6593832988533106</v>
      </c>
      <c r="O12" s="1580">
        <f t="shared" si="3"/>
        <v>-0.66681530803148881</v>
      </c>
      <c r="Q12" s="550"/>
      <c r="U12" s="552"/>
      <c r="V12" s="552"/>
    </row>
    <row r="13" spans="2:22" s="521" customFormat="1" ht="15" customHeight="1">
      <c r="C13" s="1581"/>
      <c r="D13" s="1581"/>
      <c r="E13" s="1570" t="str">
        <f>IF(Indice_index!$Z$1=1,"Segurança Social","Social Security")</f>
        <v>Social Security</v>
      </c>
      <c r="F13" s="1581"/>
      <c r="G13" s="1581"/>
      <c r="H13" s="1574">
        <f t="shared" si="0"/>
        <v>299.06548745000146</v>
      </c>
      <c r="I13" s="1574">
        <f t="shared" si="1"/>
        <v>2043.3212096299976</v>
      </c>
      <c r="J13" s="1574">
        <f>+'13 - SS Eco'!E29</f>
        <v>12699.736255349999</v>
      </c>
      <c r="K13" s="1574">
        <f>+'13 - SS Eco'!F29</f>
        <v>13572.898866619997</v>
      </c>
      <c r="L13" s="1574">
        <f>+'13 - SS Eco'!E54</f>
        <v>12400.670767899997</v>
      </c>
      <c r="M13" s="1574">
        <f>+'13 - SS Eco'!F54</f>
        <v>11529.577656989999</v>
      </c>
      <c r="N13" s="1575">
        <f t="shared" si="2"/>
        <v>6.8754389360028005</v>
      </c>
      <c r="O13" s="1575">
        <f t="shared" si="3"/>
        <v>-7.0245644547300117</v>
      </c>
      <c r="Q13" s="550"/>
      <c r="U13" s="551"/>
      <c r="V13" s="551"/>
    </row>
    <row r="14" spans="2:22" ht="15" customHeight="1">
      <c r="C14" s="1581"/>
      <c r="D14" s="1573" t="str">
        <f>IF(Indice_index!$Z$1=1,"Administração Regional","Regional Government")</f>
        <v>Regional Government</v>
      </c>
      <c r="E14" s="1569"/>
      <c r="F14" s="1581"/>
      <c r="G14" s="1581"/>
      <c r="H14" s="1574">
        <f t="shared" si="0"/>
        <v>-49.52218756399941</v>
      </c>
      <c r="I14" s="1574">
        <f t="shared" si="1"/>
        <v>-154.71589842000117</v>
      </c>
      <c r="J14" s="1574">
        <f>'14 - Adm R'!J35</f>
        <v>1003.5823219699997</v>
      </c>
      <c r="K14" s="1574">
        <f>'14 - Adm R'!K35</f>
        <v>959.62237561000029</v>
      </c>
      <c r="L14" s="1574">
        <f>'14 - Adm R'!J58</f>
        <v>1053.1045095339991</v>
      </c>
      <c r="M14" s="1574">
        <f>'14 - Adm R'!K58</f>
        <v>1114.3382740300015</v>
      </c>
      <c r="N14" s="1575">
        <f t="shared" si="2"/>
        <v>-4.3803029803980085</v>
      </c>
      <c r="O14" s="1575">
        <f t="shared" si="3"/>
        <v>5.8145952221872435</v>
      </c>
      <c r="P14" s="521"/>
      <c r="Q14" s="550"/>
      <c r="U14" s="551"/>
      <c r="V14" s="551"/>
    </row>
    <row r="15" spans="2:22" ht="15" customHeight="1">
      <c r="C15" s="1569"/>
      <c r="D15" s="1570" t="str">
        <f>IF(Indice_index!$Z$1=1,"Administração Local","Local Government")</f>
        <v>Local Government</v>
      </c>
      <c r="E15" s="1570"/>
      <c r="F15" s="1570"/>
      <c r="G15" s="1570"/>
      <c r="H15" s="1574">
        <f t="shared" si="0"/>
        <v>-102.46103423788736</v>
      </c>
      <c r="I15" s="1574">
        <f t="shared" si="1"/>
        <v>65.548334324091684</v>
      </c>
      <c r="J15" s="1574">
        <f>+'15 - Adm Loc'!D43</f>
        <v>3106.8881928255259</v>
      </c>
      <c r="K15" s="1574">
        <f>+'15 - Adm Loc'!E43</f>
        <v>3441.0745632633666</v>
      </c>
      <c r="L15" s="1574">
        <f>+'15 - Adm Loc'!D64</f>
        <v>3209.3492270634133</v>
      </c>
      <c r="M15" s="1574">
        <f>+'15 - Adm Loc'!E64</f>
        <v>3375.5262289392749</v>
      </c>
      <c r="N15" s="1575">
        <f t="shared" si="2"/>
        <v>10.756305013149458</v>
      </c>
      <c r="O15" s="1575">
        <f t="shared" si="3"/>
        <v>5.1779033728876938</v>
      </c>
      <c r="P15" s="521"/>
      <c r="Q15" s="550"/>
      <c r="U15" s="551"/>
      <c r="V15" s="551"/>
    </row>
    <row r="16" spans="2:22" s="544" customFormat="1" ht="15" customHeight="1">
      <c r="B16" s="543"/>
      <c r="C16" s="1582" t="str">
        <f>IF(Indice_index!$Z$1=1,"Administrações Públicas","General Government")</f>
        <v>General Government</v>
      </c>
      <c r="D16" s="1582"/>
      <c r="E16" s="1582"/>
      <c r="F16" s="1582"/>
      <c r="G16" s="1582"/>
      <c r="H16" s="1583">
        <f t="shared" si="0"/>
        <v>-5593.6656518118725</v>
      </c>
      <c r="I16" s="1583">
        <f t="shared" si="1"/>
        <v>-410.62101228591928</v>
      </c>
      <c r="J16" s="1583">
        <f>'2 - Conta Consol AP'!K27</f>
        <v>31330.227664172304</v>
      </c>
      <c r="K16" s="1583">
        <f>'2 - Conta Consol AP'!Q27</f>
        <v>36312.384346629835</v>
      </c>
      <c r="L16" s="1583">
        <f>'2 - Conta Consol AP'!K50</f>
        <v>36923.893315984176</v>
      </c>
      <c r="M16" s="1583">
        <f>'2 - Conta Consol AP'!Q50</f>
        <v>36723.005358915754</v>
      </c>
      <c r="N16" s="1583">
        <f t="shared" si="2"/>
        <v>15.902076218089148</v>
      </c>
      <c r="O16" s="1583">
        <f t="shared" si="3"/>
        <v>-0.54405952088876475</v>
      </c>
      <c r="Q16" s="553"/>
      <c r="U16" s="554"/>
      <c r="V16" s="554"/>
    </row>
    <row r="17" spans="3:22" ht="4.5" customHeight="1">
      <c r="C17" s="1584"/>
      <c r="D17" s="1584"/>
      <c r="E17" s="1584"/>
      <c r="F17" s="1584"/>
      <c r="G17" s="1584"/>
      <c r="H17" s="1584"/>
      <c r="I17" s="1584"/>
      <c r="J17" s="1584"/>
      <c r="K17" s="1584"/>
      <c r="L17" s="1584"/>
      <c r="M17" s="1584"/>
      <c r="N17" s="1584"/>
      <c r="O17" s="1584"/>
      <c r="U17" s="555"/>
      <c r="V17" s="555"/>
    </row>
    <row r="18" spans="3:22" ht="15" customHeight="1">
      <c r="C18" s="1585" t="str">
        <f>IF(Indice_index!$Z$1=1,"Nota:","Note:")</f>
        <v>Note:</v>
      </c>
      <c r="D18" s="1570"/>
      <c r="E18" s="1570"/>
      <c r="F18" s="1570"/>
      <c r="G18" s="1570"/>
      <c r="H18" s="1586"/>
      <c r="I18" s="1586"/>
      <c r="J18" s="1586"/>
      <c r="K18" s="1586"/>
      <c r="L18" s="1586"/>
      <c r="M18" s="1586"/>
      <c r="N18" s="1586"/>
      <c r="O18" s="1586"/>
      <c r="P18" s="521"/>
      <c r="Q18" s="556"/>
      <c r="U18" s="554"/>
      <c r="V18" s="554"/>
    </row>
    <row r="19" spans="3:22" ht="21.75" customHeight="1">
      <c r="C19" s="162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Cash basis amounts not consolidated of flows among different subsectors; differences against the values published in 2021 are due to data updates.</v>
      </c>
      <c r="D19" s="1628"/>
      <c r="E19" s="1628"/>
      <c r="F19" s="1628"/>
      <c r="G19" s="1628"/>
      <c r="H19" s="1628"/>
      <c r="I19" s="1628"/>
      <c r="J19" s="1628"/>
      <c r="K19" s="1628"/>
      <c r="L19" s="1628"/>
      <c r="M19" s="1628"/>
      <c r="N19" s="1628"/>
      <c r="O19" s="1628"/>
      <c r="U19" s="555"/>
      <c r="V19" s="555"/>
    </row>
    <row r="20" spans="3:22" ht="15" customHeight="1">
      <c r="C20" s="136" t="str">
        <f>IF(Indice_index!$Z$1=1,"Fonte: Direção-Geral do Orçamento","Source: Budget General Directorate")</f>
        <v>Source: Budget General Directorate</v>
      </c>
      <c r="D20" s="1570"/>
      <c r="E20" s="1570"/>
      <c r="F20" s="1570"/>
      <c r="G20" s="1570"/>
      <c r="H20" s="1572"/>
      <c r="I20" s="1587"/>
      <c r="J20" s="1570"/>
      <c r="K20" s="1570"/>
      <c r="L20" s="1570"/>
      <c r="M20" s="1572"/>
      <c r="N20" s="1587"/>
      <c r="O20" s="1587"/>
      <c r="U20" s="555"/>
      <c r="V20" s="18"/>
    </row>
    <row r="21" spans="3:22">
      <c r="I21" s="556"/>
    </row>
    <row r="23" spans="3:22">
      <c r="G23" s="520"/>
    </row>
    <row r="25" spans="3:22" s="517" customFormat="1">
      <c r="M25" s="519"/>
      <c r="U25" s="518"/>
      <c r="V25" s="518"/>
    </row>
    <row r="26" spans="3:22" s="517" customFormat="1">
      <c r="U26" s="518"/>
      <c r="V26" s="518"/>
    </row>
    <row r="27" spans="3:22" s="517" customFormat="1">
      <c r="U27" s="518"/>
      <c r="V27" s="518"/>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D219"/>
  <sheetViews>
    <sheetView showGridLines="0" zoomScaleNormal="100" zoomScaleSheetLayoutView="100" workbookViewId="0">
      <selection activeCell="B2" sqref="B2"/>
    </sheetView>
  </sheetViews>
  <sheetFormatPr defaultColWidth="9.140625" defaultRowHeight="12.75"/>
  <cols>
    <col min="1" max="1" width="3.42578125" style="17" customWidth="1"/>
    <col min="2" max="2" width="4.42578125" style="17" customWidth="1"/>
    <col min="3" max="3" width="31" style="17" customWidth="1"/>
    <col min="4" max="4" width="1.5703125" style="17" customWidth="1"/>
    <col min="5" max="5" width="9.5703125" style="17" customWidth="1"/>
    <col min="6" max="6" width="1.5703125" style="17" customWidth="1"/>
    <col min="7" max="8" width="8.42578125" style="17" customWidth="1"/>
    <col min="9" max="9" width="9.42578125" style="17" customWidth="1"/>
    <col min="10" max="10" width="8.42578125" style="17" customWidth="1"/>
    <col min="11" max="11" width="9.5703125" style="17" customWidth="1"/>
    <col min="12" max="12" width="1.5703125" style="20" customWidth="1"/>
    <col min="13" max="14" width="8.42578125" style="17" customWidth="1"/>
    <col min="15" max="15" width="9.5703125" style="17" customWidth="1"/>
    <col min="16" max="16" width="8.42578125" style="17" customWidth="1"/>
    <col min="17" max="18" width="9.140625" style="17" customWidth="1"/>
    <col min="19" max="19" width="8.42578125" style="17" customWidth="1"/>
    <col min="20" max="20" width="9.140625" style="17" customWidth="1"/>
    <col min="21" max="21" width="8.42578125" style="17" customWidth="1"/>
    <col min="22" max="22" width="9.5703125" style="19" customWidth="1"/>
    <col min="23" max="26" width="7" style="19" customWidth="1"/>
    <col min="27" max="27" width="10.140625" style="19" customWidth="1"/>
    <col min="28" max="28" width="8.42578125" style="19" customWidth="1"/>
    <col min="29" max="29" width="7" style="19" customWidth="1"/>
    <col min="30" max="16384" width="9.140625" style="17"/>
  </cols>
  <sheetData>
    <row r="1" spans="2:29" ht="15" customHeight="1"/>
    <row r="2" spans="2:29" ht="24" customHeight="1">
      <c r="B2" s="8"/>
      <c r="C2" s="9" t="str">
        <f>IF(Indice_index!$Z$1=1,"2 - Conta Consolidada das Administrações Públicas","2 - General Government Consolidated Account")</f>
        <v>2 - General Government Consolidated Account</v>
      </c>
      <c r="D2" s="9"/>
      <c r="E2" s="9"/>
      <c r="F2" s="9"/>
      <c r="G2" s="9"/>
      <c r="H2" s="9"/>
      <c r="I2" s="9"/>
      <c r="J2" s="9"/>
      <c r="K2" s="9"/>
      <c r="L2" s="9"/>
      <c r="M2" s="9"/>
      <c r="N2" s="9"/>
      <c r="O2" s="9"/>
      <c r="P2" s="9"/>
      <c r="Q2" s="9"/>
    </row>
    <row r="3" spans="2:29" ht="15" customHeight="1"/>
    <row r="4" spans="2:29" ht="15" customHeight="1"/>
    <row r="5" spans="2:29" s="557" customFormat="1" ht="15" customHeight="1">
      <c r="C5" s="871" t="str">
        <f>+'5 - Conta AC + SS'!C5</f>
        <v>Period: January to May</v>
      </c>
      <c r="D5" s="1504"/>
      <c r="E5" s="847"/>
      <c r="F5" s="1504"/>
      <c r="G5" s="1505"/>
      <c r="H5" s="1506"/>
      <c r="I5" s="1505"/>
      <c r="J5" s="1505"/>
      <c r="K5" s="1507"/>
      <c r="L5" s="1507"/>
      <c r="M5" s="1505"/>
      <c r="N5" s="1506"/>
      <c r="O5" s="1505"/>
      <c r="P5" s="1505"/>
      <c r="Q5" s="1488" t="str">
        <f>IF(Indice_index!$Z$1=1,"€ Milhões","€ Millions")</f>
        <v>€ Millions</v>
      </c>
      <c r="V5" s="558"/>
      <c r="W5" s="558"/>
      <c r="X5" s="558"/>
      <c r="Y5" s="558"/>
      <c r="Z5" s="558"/>
      <c r="AA5" s="558"/>
      <c r="AB5" s="558"/>
      <c r="AC5" s="558"/>
    </row>
    <row r="6" spans="2:29" s="559" customFormat="1" ht="25.35" customHeight="1">
      <c r="C6" s="1508"/>
      <c r="D6" s="1509"/>
      <c r="E6" s="1510" t="str">
        <f>IF(Indice_index!$Z$1=1,"CGE","Final execution")</f>
        <v>Final execution</v>
      </c>
      <c r="F6" s="1511"/>
      <c r="G6" s="1635" t="str">
        <f>IF(Indice_index!$Z$1=1,"Execução Acumulada","Accumulated Execution")</f>
        <v>Accumulated Execution</v>
      </c>
      <c r="H6" s="1635"/>
      <c r="I6" s="1635"/>
      <c r="J6" s="1635"/>
      <c r="K6" s="1635"/>
      <c r="L6" s="1635"/>
      <c r="M6" s="1635"/>
      <c r="N6" s="1635"/>
      <c r="O6" s="1635"/>
      <c r="P6" s="1635"/>
      <c r="Q6" s="1635"/>
      <c r="V6" s="560"/>
      <c r="W6" s="560"/>
      <c r="X6" s="560"/>
      <c r="Y6" s="560"/>
      <c r="Z6" s="560"/>
      <c r="AA6" s="560"/>
      <c r="AB6" s="560"/>
      <c r="AC6" s="560"/>
    </row>
    <row r="7" spans="2:29" ht="15">
      <c r="C7" s="1512"/>
      <c r="D7" s="1513"/>
      <c r="E7" s="1514" t="s">
        <v>68</v>
      </c>
      <c r="F7" s="1515"/>
      <c r="G7" s="1637" t="s">
        <v>68</v>
      </c>
      <c r="H7" s="1637"/>
      <c r="I7" s="1637"/>
      <c r="J7" s="1637"/>
      <c r="K7" s="1637"/>
      <c r="L7" s="1516"/>
      <c r="M7" s="1637" t="s">
        <v>75</v>
      </c>
      <c r="N7" s="1637"/>
      <c r="O7" s="1637"/>
      <c r="P7" s="1637"/>
      <c r="Q7" s="1637"/>
      <c r="U7" s="561"/>
      <c r="V7" s="562"/>
      <c r="W7" s="562"/>
      <c r="X7" s="562"/>
      <c r="Y7" s="562"/>
      <c r="Z7" s="562"/>
      <c r="AA7" s="562"/>
      <c r="AB7" s="562"/>
      <c r="AC7" s="562"/>
    </row>
    <row r="8" spans="2:29" ht="33" customHeight="1">
      <c r="C8" s="1517"/>
      <c r="D8" s="1518"/>
      <c r="E8" s="1519" t="str">
        <f>IF(Indice_index!$Z$1=1,"Adm. Públicas","General Government")</f>
        <v>General Government</v>
      </c>
      <c r="F8" s="1518"/>
      <c r="G8" s="1519" t="str">
        <f>IF(Indice_index!$Z$1=1,"Estado","State")</f>
        <v>State</v>
      </c>
      <c r="H8" s="1519" t="str">
        <f>IF(Indice_index!$Z$1=1,"Serviços e Fundos Autónomos","Autonomous Funds and Services")</f>
        <v>Autonomous Funds and Services</v>
      </c>
      <c r="I8" s="1519" t="str">
        <f>IF(Indice_index!$Z$1=1,"Adm. Local e Regional","Local and Regional Government")</f>
        <v>Local and Regional Government</v>
      </c>
      <c r="J8" s="1519" t="str">
        <f>IF(Indice_index!$Z$1=1,"Segurança Social","Social Security")</f>
        <v>Social Security</v>
      </c>
      <c r="K8" s="1519" t="str">
        <f>IF(Indice_index!$Z$1=1,"Adm. Públicas","General Government")</f>
        <v>General Government</v>
      </c>
      <c r="L8" s="1518"/>
      <c r="M8" s="1519" t="str">
        <f>IF(Indice_index!$Z$1=1,"Estado","State")</f>
        <v>State</v>
      </c>
      <c r="N8" s="1519" t="str">
        <f>IF(Indice_index!$Z$1=1,"Serviços e Fundos Autónomos","Autonomous Funds and Services")</f>
        <v>Autonomous Funds and Services</v>
      </c>
      <c r="O8" s="1519" t="str">
        <f>IF(Indice_index!$Z$1=1,"Adm. Local e Regional","Local and Regional Government")</f>
        <v>Local and Regional Government</v>
      </c>
      <c r="P8" s="1519" t="str">
        <f>IF(Indice_index!$Z$1=1,"Segurança Social","Social Security")</f>
        <v>Social Security</v>
      </c>
      <c r="Q8" s="1519" t="str">
        <f>IF(Indice_index!$Z$1=1,"Adm. Públicas","General Government")</f>
        <v>General Government</v>
      </c>
      <c r="U8" s="561"/>
      <c r="V8" s="1636"/>
      <c r="W8" s="1636"/>
      <c r="X8" s="1636"/>
      <c r="Y8" s="1636"/>
      <c r="Z8" s="1636"/>
      <c r="AA8" s="1636"/>
      <c r="AB8" s="1636"/>
      <c r="AC8" s="1636"/>
    </row>
    <row r="9" spans="2:29" s="559" customFormat="1" ht="15" customHeight="1">
      <c r="C9" s="320" t="str">
        <f>IF(Indice_index!$Z$1=1,"Receita corrente","Current revenue")</f>
        <v>Current revenue</v>
      </c>
      <c r="D9" s="1520"/>
      <c r="E9" s="1521">
        <f>E10+E13+E14+E17+E18</f>
        <v>89765.995140224419</v>
      </c>
      <c r="F9" s="1512"/>
      <c r="G9" s="1521">
        <f>G10+G13+G14+G17+G18</f>
        <v>16353.04562194</v>
      </c>
      <c r="H9" s="1521">
        <f t="shared" ref="H9:K9" si="0">H10+H13+H14+H17+H18</f>
        <v>12261.598541220001</v>
      </c>
      <c r="I9" s="1521">
        <f t="shared" si="0"/>
        <v>3808.6412611800806</v>
      </c>
      <c r="J9" s="1521">
        <f t="shared" si="0"/>
        <v>12699.590847669999</v>
      </c>
      <c r="K9" s="1521">
        <f t="shared" si="0"/>
        <v>30410.867436770077</v>
      </c>
      <c r="L9" s="1521"/>
      <c r="M9" s="1521">
        <f>M10+M13+M14+M17+M18</f>
        <v>19478.008885629999</v>
      </c>
      <c r="N9" s="1521">
        <f t="shared" ref="N9" si="1">N10+N13+N14+N17+N18</f>
        <v>12678.719969220008</v>
      </c>
      <c r="O9" s="1521">
        <f t="shared" ref="O9" si="2">O10+O13+O14+O17+O18</f>
        <v>4178.0218719240884</v>
      </c>
      <c r="P9" s="1521">
        <f t="shared" ref="P9" si="3">P10+P13+P14+P17+P18</f>
        <v>13572.586533489999</v>
      </c>
      <c r="Q9" s="1521">
        <f t="shared" ref="Q9" si="4">Q10+Q13+Q14+Q17+Q18</f>
        <v>35263.271280504094</v>
      </c>
      <c r="R9" s="564"/>
      <c r="S9" s="563"/>
      <c r="T9" s="564"/>
      <c r="U9" s="565"/>
      <c r="V9" s="566"/>
      <c r="W9" s="566"/>
      <c r="X9" s="566"/>
      <c r="Y9" s="566"/>
      <c r="Z9" s="566"/>
      <c r="AA9" s="566"/>
      <c r="AB9" s="566"/>
      <c r="AC9" s="566"/>
    </row>
    <row r="10" spans="2:29" ht="15" customHeight="1">
      <c r="C10" s="688" t="str">
        <f>IF(Indice_index!$Z$1=1,"Receita Fiscal","Tax")</f>
        <v>Tax</v>
      </c>
      <c r="D10" s="593"/>
      <c r="E10" s="818">
        <f>E11+E12</f>
        <v>51432.173478075827</v>
      </c>
      <c r="F10" s="818"/>
      <c r="G10" s="818">
        <f t="shared" ref="G10:J10" si="5">G11+G12</f>
        <v>14503.085969010001</v>
      </c>
      <c r="H10" s="818">
        <f t="shared" si="5"/>
        <v>239.79760357999999</v>
      </c>
      <c r="I10" s="818">
        <f t="shared" si="5"/>
        <v>1228.0771805555546</v>
      </c>
      <c r="J10" s="818">
        <f t="shared" si="5"/>
        <v>90.582493360000001</v>
      </c>
      <c r="K10" s="818">
        <f>K11+K12</f>
        <v>16061.543246505553</v>
      </c>
      <c r="L10" s="818"/>
      <c r="M10" s="818">
        <f t="shared" ref="M10:P10" si="6">M11+M12</f>
        <v>17545.524144340001</v>
      </c>
      <c r="N10" s="818">
        <f t="shared" si="6"/>
        <v>269.99127561</v>
      </c>
      <c r="O10" s="818">
        <f t="shared" si="6"/>
        <v>1528.1136838593106</v>
      </c>
      <c r="P10" s="818">
        <f t="shared" si="6"/>
        <v>100.00442937000001</v>
      </c>
      <c r="Q10" s="818">
        <f>Q11+Q12</f>
        <v>19443.633533179313</v>
      </c>
      <c r="R10" s="567"/>
      <c r="S10" s="568"/>
      <c r="T10" s="567"/>
      <c r="U10" s="569"/>
      <c r="V10" s="562"/>
      <c r="W10" s="562"/>
      <c r="X10" s="562"/>
      <c r="Y10" s="562"/>
      <c r="Z10" s="562"/>
      <c r="AA10" s="562"/>
      <c r="AB10" s="562"/>
      <c r="AC10" s="562"/>
    </row>
    <row r="11" spans="2:29" ht="15" customHeight="1">
      <c r="C11" s="695" t="str">
        <f>IF(Indice_index!$Z$1=1,"Impostos diretos","Direct taxes")</f>
        <v>Direct taxes</v>
      </c>
      <c r="D11" s="593"/>
      <c r="E11" s="818">
        <v>23916.184590335437</v>
      </c>
      <c r="F11" s="247"/>
      <c r="G11" s="818">
        <v>4770.5620355700003</v>
      </c>
      <c r="H11" s="818">
        <v>0</v>
      </c>
      <c r="I11" s="818">
        <v>814.23523393062703</v>
      </c>
      <c r="J11" s="818">
        <v>0</v>
      </c>
      <c r="K11" s="818">
        <v>5584.7972695006274</v>
      </c>
      <c r="L11" s="818"/>
      <c r="M11" s="818">
        <v>5722.7247265600008</v>
      </c>
      <c r="N11" s="818">
        <v>0</v>
      </c>
      <c r="O11" s="818">
        <v>1088.4948864292419</v>
      </c>
      <c r="P11" s="818">
        <v>0</v>
      </c>
      <c r="Q11" s="818">
        <v>6811.2196129892427</v>
      </c>
      <c r="R11" s="567"/>
      <c r="S11" s="568"/>
      <c r="T11" s="567"/>
      <c r="U11" s="569"/>
      <c r="V11" s="562"/>
      <c r="W11" s="562"/>
      <c r="X11" s="562"/>
      <c r="Y11" s="562"/>
      <c r="Z11" s="562"/>
      <c r="AA11" s="562"/>
      <c r="AB11" s="562"/>
      <c r="AC11" s="562"/>
    </row>
    <row r="12" spans="2:29" ht="15" customHeight="1">
      <c r="C12" s="695" t="str">
        <f>IF(Indice_index!$Z$1=1,"Impostos indiretos","Indirect taxes")</f>
        <v>Indirect taxes</v>
      </c>
      <c r="D12" s="593"/>
      <c r="E12" s="818">
        <v>27515.988887740394</v>
      </c>
      <c r="F12" s="247"/>
      <c r="G12" s="818">
        <v>9732.5239334399994</v>
      </c>
      <c r="H12" s="818">
        <v>239.79760357999999</v>
      </c>
      <c r="I12" s="818">
        <v>413.84194662492746</v>
      </c>
      <c r="J12" s="818">
        <v>90.582493360000001</v>
      </c>
      <c r="K12" s="818">
        <v>10476.745977004926</v>
      </c>
      <c r="L12" s="818"/>
      <c r="M12" s="818">
        <v>11822.799417780001</v>
      </c>
      <c r="N12" s="818">
        <v>269.99127561</v>
      </c>
      <c r="O12" s="818">
        <v>439.61879743006881</v>
      </c>
      <c r="P12" s="818">
        <v>100.00442937000001</v>
      </c>
      <c r="Q12" s="818">
        <v>12632.413920190069</v>
      </c>
      <c r="R12" s="567"/>
      <c r="S12" s="568"/>
      <c r="T12" s="567"/>
      <c r="U12" s="569"/>
      <c r="V12" s="562"/>
      <c r="W12" s="562"/>
      <c r="X12" s="562"/>
      <c r="Y12" s="562"/>
      <c r="Z12" s="562"/>
      <c r="AA12" s="562"/>
      <c r="AB12" s="562"/>
      <c r="AC12" s="562"/>
    </row>
    <row r="13" spans="2:29" ht="15" customHeight="1">
      <c r="C13" s="682" t="str">
        <f>IF(Indice_index!$Z$1=1,"Contribuições de Segurança Social","Social security contributions")</f>
        <v>Social security contributions</v>
      </c>
      <c r="D13" s="593"/>
      <c r="E13" s="818">
        <v>24205.521009030002</v>
      </c>
      <c r="F13" s="247"/>
      <c r="G13" s="818">
        <v>23.09374373</v>
      </c>
      <c r="H13" s="818">
        <v>1529.1178567699999</v>
      </c>
      <c r="I13" s="818">
        <v>0</v>
      </c>
      <c r="J13" s="818">
        <v>7491.3349819800005</v>
      </c>
      <c r="K13" s="818">
        <v>9043.5465824800012</v>
      </c>
      <c r="L13" s="818"/>
      <c r="M13" s="818">
        <v>25.86644793</v>
      </c>
      <c r="N13" s="818">
        <v>1453.7277913599999</v>
      </c>
      <c r="O13" s="818">
        <v>0</v>
      </c>
      <c r="P13" s="818">
        <v>8481.8651757199987</v>
      </c>
      <c r="Q13" s="818">
        <v>9961.4594150099983</v>
      </c>
      <c r="R13" s="567"/>
      <c r="S13" s="568"/>
      <c r="T13" s="567"/>
      <c r="U13" s="569"/>
      <c r="V13" s="562"/>
      <c r="W13" s="562"/>
      <c r="X13" s="562"/>
      <c r="Y13" s="562"/>
      <c r="Z13" s="562"/>
      <c r="AA13" s="562"/>
      <c r="AB13" s="562"/>
      <c r="AC13" s="562"/>
    </row>
    <row r="14" spans="2:29" ht="15" customHeight="1">
      <c r="C14" s="682" t="str">
        <f>IF(Indice_index!$Z$1=1,"Transferências Correntes","Current transfers")</f>
        <v>Current transfers</v>
      </c>
      <c r="D14" s="593"/>
      <c r="E14" s="818">
        <v>3017.7043054748233</v>
      </c>
      <c r="F14" s="247"/>
      <c r="G14" s="818">
        <v>523.88160105999987</v>
      </c>
      <c r="H14" s="818">
        <v>8638.1716819600006</v>
      </c>
      <c r="I14" s="818">
        <v>1852.9427228356549</v>
      </c>
      <c r="J14" s="818">
        <v>4600.4457480499996</v>
      </c>
      <c r="K14" s="818">
        <v>1252.7129081956527</v>
      </c>
      <c r="L14" s="818"/>
      <c r="M14" s="818">
        <v>420.61059769999997</v>
      </c>
      <c r="N14" s="818">
        <v>8701.8859292699999</v>
      </c>
      <c r="O14" s="818">
        <v>1891.3799175108149</v>
      </c>
      <c r="P14" s="818">
        <v>4573.2935725500001</v>
      </c>
      <c r="Q14" s="818">
        <v>1105.3618532008145</v>
      </c>
      <c r="R14" s="567"/>
      <c r="S14" s="568"/>
      <c r="T14" s="567"/>
      <c r="U14" s="569"/>
      <c r="V14" s="562"/>
      <c r="W14" s="562"/>
      <c r="X14" s="562"/>
      <c r="Y14" s="562"/>
      <c r="Z14" s="562"/>
      <c r="AA14" s="562"/>
      <c r="AB14" s="562"/>
      <c r="AC14" s="562"/>
    </row>
    <row r="15" spans="2:29" ht="15" customHeight="1">
      <c r="C15" s="1522" t="str">
        <f>IF(Indice_index!$Z$1=1,"Administrações Públicas","General Government subsectors")</f>
        <v>General Government subsectors</v>
      </c>
      <c r="D15" s="593"/>
      <c r="E15" s="1523">
        <v>0</v>
      </c>
      <c r="F15" s="1524"/>
      <c r="G15" s="1523">
        <v>285.52729700999998</v>
      </c>
      <c r="H15" s="1523">
        <v>8364.1961071100013</v>
      </c>
      <c r="I15" s="1523">
        <v>1768.876166370002</v>
      </c>
      <c r="J15" s="1523">
        <v>3944.1292752199997</v>
      </c>
      <c r="K15" s="1523">
        <v>0</v>
      </c>
      <c r="L15" s="1523"/>
      <c r="M15" s="1523">
        <v>288.39751290999999</v>
      </c>
      <c r="N15" s="1523">
        <v>8357.7978072000005</v>
      </c>
      <c r="O15" s="1523">
        <v>1760.3994427600005</v>
      </c>
      <c r="P15" s="1523">
        <v>4075.2134009599999</v>
      </c>
      <c r="Q15" s="1523">
        <v>0</v>
      </c>
      <c r="R15" s="567"/>
      <c r="S15" s="568"/>
      <c r="T15" s="567"/>
      <c r="U15" s="569"/>
      <c r="V15" s="562"/>
      <c r="W15" s="562"/>
      <c r="X15" s="562"/>
      <c r="Y15" s="562"/>
      <c r="Z15" s="562"/>
      <c r="AA15" s="562"/>
      <c r="AB15" s="562"/>
      <c r="AC15" s="562"/>
    </row>
    <row r="16" spans="2:29" ht="15" customHeight="1">
      <c r="C16" s="1522" t="str">
        <f>IF(Indice_index!$Z$1=1,"Outras","Others")</f>
        <v>Others</v>
      </c>
      <c r="D16" s="593"/>
      <c r="E16" s="1523">
        <v>3017.7043054748233</v>
      </c>
      <c r="F16" s="1524"/>
      <c r="G16" s="1523">
        <v>238.35430404999988</v>
      </c>
      <c r="H16" s="1523">
        <v>273.97557485000016</v>
      </c>
      <c r="I16" s="1523">
        <v>84.066556465652809</v>
      </c>
      <c r="J16" s="1523">
        <v>656.31647282999995</v>
      </c>
      <c r="K16" s="1523">
        <v>1252.7129081956527</v>
      </c>
      <c r="L16" s="1523"/>
      <c r="M16" s="1523">
        <v>132.21308478999998</v>
      </c>
      <c r="N16" s="1523">
        <v>344.08812207000022</v>
      </c>
      <c r="O16" s="1523">
        <v>130.98047475081438</v>
      </c>
      <c r="P16" s="1523">
        <v>498.08017159000002</v>
      </c>
      <c r="Q16" s="1523">
        <v>1105.3618532008145</v>
      </c>
      <c r="R16" s="567"/>
      <c r="S16" s="568"/>
      <c r="T16" s="567"/>
      <c r="U16" s="569"/>
      <c r="V16" s="562"/>
      <c r="W16" s="562"/>
      <c r="X16" s="562"/>
      <c r="Y16" s="562"/>
      <c r="Z16" s="562"/>
      <c r="AA16" s="562"/>
      <c r="AB16" s="562"/>
      <c r="AC16" s="562"/>
    </row>
    <row r="17" spans="3:29" ht="15" customHeight="1">
      <c r="C17" s="682" t="str">
        <f>IF(Indice_index!$Z$1=1,"Outras receitas correntes","Other current revenue")</f>
        <v>Other current revenue</v>
      </c>
      <c r="D17" s="593"/>
      <c r="E17" s="818">
        <v>11070.632556263767</v>
      </c>
      <c r="F17" s="247"/>
      <c r="G17" s="818">
        <v>1302.9840188499998</v>
      </c>
      <c r="H17" s="818">
        <v>1853.0602585699994</v>
      </c>
      <c r="I17" s="818">
        <v>727.56737155887095</v>
      </c>
      <c r="J17" s="818">
        <v>517.22762427999999</v>
      </c>
      <c r="K17" s="818">
        <v>4030.2161749488705</v>
      </c>
      <c r="L17" s="818"/>
      <c r="M17" s="818">
        <v>1486.0055366300003</v>
      </c>
      <c r="N17" s="818">
        <v>2247.7222815400091</v>
      </c>
      <c r="O17" s="818">
        <v>755.06192890396278</v>
      </c>
      <c r="P17" s="818">
        <v>417.42335585000001</v>
      </c>
      <c r="Q17" s="818">
        <v>4659.5968960139726</v>
      </c>
      <c r="R17" s="567"/>
      <c r="S17" s="568"/>
      <c r="T17" s="567"/>
      <c r="U17" s="569"/>
      <c r="V17" s="562"/>
      <c r="W17" s="562"/>
      <c r="X17" s="562"/>
      <c r="Y17" s="562"/>
      <c r="Z17" s="562"/>
      <c r="AA17" s="562"/>
      <c r="AB17" s="562"/>
      <c r="AC17" s="562"/>
    </row>
    <row r="18" spans="3:29" ht="15" customHeight="1">
      <c r="C18" s="688" t="str">
        <f>IF(Indice_index!$Z$1=1,"Diferenças de consolidação","Consolidation differences")</f>
        <v>Consolidation differences</v>
      </c>
      <c r="D18" s="593"/>
      <c r="E18" s="818">
        <v>39.963791380003521</v>
      </c>
      <c r="F18" s="247"/>
      <c r="G18" s="818">
        <v>2.8929000000000004E-4</v>
      </c>
      <c r="H18" s="818">
        <v>1.4511403400016181</v>
      </c>
      <c r="I18" s="818">
        <v>5.3986229999964053E-2</v>
      </c>
      <c r="J18" s="818">
        <v>0</v>
      </c>
      <c r="K18" s="818">
        <v>22.848524639999731</v>
      </c>
      <c r="L18" s="818"/>
      <c r="M18" s="818">
        <v>2.1590300000000002E-3</v>
      </c>
      <c r="N18" s="818">
        <v>5.3926914399998331</v>
      </c>
      <c r="O18" s="818">
        <v>3.4663416499999471</v>
      </c>
      <c r="P18" s="818">
        <v>0</v>
      </c>
      <c r="Q18" s="818">
        <v>93.219583099999753</v>
      </c>
      <c r="R18" s="567"/>
      <c r="S18" s="568"/>
      <c r="T18" s="567"/>
      <c r="U18" s="569"/>
      <c r="V18" s="562"/>
      <c r="W18" s="562"/>
      <c r="X18" s="562"/>
      <c r="Y18" s="562"/>
      <c r="Z18" s="562"/>
      <c r="AA18" s="562"/>
      <c r="AB18" s="562"/>
      <c r="AC18" s="562"/>
    </row>
    <row r="19" spans="3:29" s="559" customFormat="1" ht="15" customHeight="1">
      <c r="C19" s="320" t="str">
        <f>IF(Indice_index!$Z$1=1,"Receita de capital","Capital revenue")</f>
        <v>Capital revenue</v>
      </c>
      <c r="D19" s="1525"/>
      <c r="E19" s="1521">
        <f>E20+E21+E24+E25</f>
        <v>2152.4292713541913</v>
      </c>
      <c r="F19" s="247"/>
      <c r="G19" s="1521">
        <f>G20+G21+G24+G25</f>
        <v>46.684434740000007</v>
      </c>
      <c r="H19" s="1521">
        <f t="shared" ref="H19:K19" si="7">H20+H21+H24+H25</f>
        <v>884.78904165999984</v>
      </c>
      <c r="I19" s="1521">
        <f t="shared" si="7"/>
        <v>609.2528101422273</v>
      </c>
      <c r="J19" s="1521">
        <f t="shared" si="7"/>
        <v>0.14540767999999998</v>
      </c>
      <c r="K19" s="1521">
        <f t="shared" si="7"/>
        <v>919.36022740222734</v>
      </c>
      <c r="L19" s="1521"/>
      <c r="M19" s="1521">
        <f>M20+M21+M24+M25</f>
        <v>265.91828429999998</v>
      </c>
      <c r="N19" s="1521">
        <f t="shared" ref="N19" si="8">N20+N21+N24+N25</f>
        <v>957.98992747999978</v>
      </c>
      <c r="O19" s="1521">
        <f t="shared" ref="O19" si="9">O20+O21+O24+O25</f>
        <v>470.37708622573814</v>
      </c>
      <c r="P19" s="1521">
        <f t="shared" ref="P19" si="10">P20+P21+P24+P25</f>
        <v>0.31233313000000001</v>
      </c>
      <c r="Q19" s="1521">
        <f t="shared" ref="Q19" si="11">Q20+Q21+Q24+Q25</f>
        <v>1049.113066125738</v>
      </c>
      <c r="R19" s="564"/>
      <c r="S19" s="563"/>
      <c r="T19" s="564"/>
      <c r="U19" s="565"/>
      <c r="V19" s="566"/>
      <c r="W19" s="566"/>
      <c r="X19" s="566"/>
      <c r="Y19" s="566"/>
      <c r="Z19" s="566"/>
      <c r="AA19" s="566"/>
      <c r="AB19" s="566"/>
      <c r="AC19" s="566"/>
    </row>
    <row r="20" spans="3:29" s="559" customFormat="1" ht="15" customHeight="1">
      <c r="C20" s="682" t="str">
        <f>IF(Indice_index!$Z$1=1,"Venda de bens de investimento","Sale of investment goods")</f>
        <v>Sale of investment goods</v>
      </c>
      <c r="D20" s="1525"/>
      <c r="E20" s="818">
        <v>234.08499364003021</v>
      </c>
      <c r="F20" s="247"/>
      <c r="G20" s="818">
        <v>30.393525540000002</v>
      </c>
      <c r="H20" s="818">
        <v>34.752348129999994</v>
      </c>
      <c r="I20" s="818">
        <v>43.744297705750334</v>
      </c>
      <c r="J20" s="818">
        <v>0.14540767999999998</v>
      </c>
      <c r="K20" s="818">
        <v>109.03557905575033</v>
      </c>
      <c r="L20" s="818"/>
      <c r="M20" s="818">
        <v>30.883166469999999</v>
      </c>
      <c r="N20" s="818">
        <v>30.973976330000003</v>
      </c>
      <c r="O20" s="818">
        <v>18.984978983028391</v>
      </c>
      <c r="P20" s="818">
        <v>0.30825182000000001</v>
      </c>
      <c r="Q20" s="818">
        <v>81.150373603028399</v>
      </c>
      <c r="R20" s="564"/>
      <c r="S20" s="563"/>
      <c r="T20" s="564"/>
      <c r="U20" s="565"/>
      <c r="V20" s="566"/>
      <c r="W20" s="566"/>
      <c r="X20" s="566"/>
      <c r="Y20" s="566"/>
      <c r="Z20" s="566"/>
      <c r="AA20" s="566"/>
      <c r="AB20" s="566"/>
      <c r="AC20" s="566"/>
    </row>
    <row r="21" spans="3:29" s="559" customFormat="1" ht="15" customHeight="1">
      <c r="C21" s="682" t="str">
        <f>IF(Indice_index!$Z$1=1,"Transferências de Capital","Capital transfers")</f>
        <v>Capital transfers</v>
      </c>
      <c r="D21" s="1525"/>
      <c r="E21" s="818">
        <v>1867.3452393440825</v>
      </c>
      <c r="F21" s="247"/>
      <c r="G21" s="818">
        <v>13.57528394</v>
      </c>
      <c r="H21" s="818">
        <v>847.35924916999988</v>
      </c>
      <c r="I21" s="818">
        <v>559.18368928047232</v>
      </c>
      <c r="J21" s="818">
        <v>0</v>
      </c>
      <c r="K21" s="818">
        <v>798.23595713047223</v>
      </c>
      <c r="L21" s="818"/>
      <c r="M21" s="818">
        <v>226.19789230999999</v>
      </c>
      <c r="N21" s="818">
        <v>919.7330952599998</v>
      </c>
      <c r="O21" s="818">
        <v>440.96831337455956</v>
      </c>
      <c r="P21" s="818">
        <v>0</v>
      </c>
      <c r="Q21" s="818">
        <v>941.41473593455942</v>
      </c>
      <c r="R21" s="564"/>
      <c r="S21" s="563"/>
      <c r="T21" s="564"/>
      <c r="U21" s="565"/>
      <c r="V21" s="566"/>
      <c r="W21" s="566"/>
      <c r="X21" s="566"/>
      <c r="Y21" s="566"/>
      <c r="Z21" s="566"/>
      <c r="AA21" s="566"/>
      <c r="AB21" s="566"/>
      <c r="AC21" s="566"/>
    </row>
    <row r="22" spans="3:29" s="559" customFormat="1" ht="15" customHeight="1">
      <c r="C22" s="1522" t="str">
        <f>IF(Indice_index!$Z$1=1,"Administrações Públicas","General Government subsectors")</f>
        <v>General Government subsectors</v>
      </c>
      <c r="D22" s="1525"/>
      <c r="E22" s="818">
        <v>0</v>
      </c>
      <c r="F22" s="247"/>
      <c r="G22" s="818">
        <v>5.2418978799999998</v>
      </c>
      <c r="H22" s="818">
        <v>367.10935291999999</v>
      </c>
      <c r="I22" s="818">
        <v>249.53101445999997</v>
      </c>
      <c r="J22" s="818">
        <v>0</v>
      </c>
      <c r="K22" s="818">
        <v>0</v>
      </c>
      <c r="L22" s="818"/>
      <c r="M22" s="818">
        <v>6.4537633799999989</v>
      </c>
      <c r="N22" s="818">
        <v>384.34725064999992</v>
      </c>
      <c r="O22" s="818">
        <v>254.68355098000001</v>
      </c>
      <c r="P22" s="818">
        <v>0</v>
      </c>
      <c r="Q22" s="818">
        <v>0</v>
      </c>
      <c r="R22" s="564"/>
      <c r="S22" s="563"/>
      <c r="T22" s="564"/>
      <c r="U22" s="565"/>
      <c r="V22" s="566"/>
      <c r="W22" s="566"/>
      <c r="X22" s="566"/>
      <c r="Y22" s="566"/>
      <c r="Z22" s="566"/>
      <c r="AA22" s="566"/>
      <c r="AB22" s="566"/>
      <c r="AC22" s="566"/>
    </row>
    <row r="23" spans="3:29" s="559" customFormat="1" ht="15" customHeight="1">
      <c r="C23" s="1522" t="str">
        <f>IF(Indice_index!$Z$1=1,"Outras","Others")</f>
        <v>Others</v>
      </c>
      <c r="D23" s="1525"/>
      <c r="E23" s="1523">
        <v>1867.3452393440825</v>
      </c>
      <c r="F23" s="1524"/>
      <c r="G23" s="1523">
        <v>8.3333860600000005</v>
      </c>
      <c r="H23" s="1523">
        <v>480.24989624999989</v>
      </c>
      <c r="I23" s="1523">
        <v>309.65267482047238</v>
      </c>
      <c r="J23" s="1523">
        <v>0</v>
      </c>
      <c r="K23" s="1523">
        <v>798.23595713047223</v>
      </c>
      <c r="L23" s="1523"/>
      <c r="M23" s="1523">
        <v>219.74412892999999</v>
      </c>
      <c r="N23" s="1523">
        <v>535.38584460999982</v>
      </c>
      <c r="O23" s="1523">
        <v>186.28476239455955</v>
      </c>
      <c r="P23" s="1523">
        <v>0</v>
      </c>
      <c r="Q23" s="1523">
        <v>941.41473593455942</v>
      </c>
      <c r="R23" s="564"/>
      <c r="S23" s="563"/>
      <c r="T23" s="564"/>
      <c r="U23" s="565"/>
      <c r="V23" s="566"/>
      <c r="W23" s="566"/>
      <c r="X23" s="566"/>
      <c r="Y23" s="566"/>
      <c r="Z23" s="566"/>
      <c r="AA23" s="566"/>
      <c r="AB23" s="566"/>
      <c r="AC23" s="566"/>
    </row>
    <row r="24" spans="3:29" s="559" customFormat="1" ht="15" customHeight="1">
      <c r="C24" s="682" t="str">
        <f>IF(Indice_index!$Z$1=1,"Outras receitas de capital","Other capital revenue")</f>
        <v>Other capital revenue</v>
      </c>
      <c r="D24" s="1525"/>
      <c r="E24" s="1523">
        <v>42.809041090078466</v>
      </c>
      <c r="F24" s="1524"/>
      <c r="G24" s="1523">
        <v>1.7904859300000002</v>
      </c>
      <c r="H24" s="1523">
        <v>2.67744436</v>
      </c>
      <c r="I24" s="1523">
        <v>6.3248231560046353</v>
      </c>
      <c r="J24" s="1523">
        <v>0</v>
      </c>
      <c r="K24" s="1523">
        <v>10.792753446004635</v>
      </c>
      <c r="L24" s="1523"/>
      <c r="M24" s="1523">
        <v>8.6293334399999981</v>
      </c>
      <c r="N24" s="1523">
        <v>7.2828558900000004</v>
      </c>
      <c r="O24" s="1523">
        <v>10.420890908150231</v>
      </c>
      <c r="P24" s="1523">
        <v>4.0813100000000003E-3</v>
      </c>
      <c r="Q24" s="1523">
        <v>26.337161548150227</v>
      </c>
      <c r="R24" s="564"/>
      <c r="S24" s="563"/>
      <c r="T24" s="564"/>
      <c r="U24" s="565"/>
      <c r="V24" s="566"/>
      <c r="W24" s="566"/>
      <c r="X24" s="566"/>
      <c r="Y24" s="566"/>
      <c r="Z24" s="566"/>
      <c r="AA24" s="566"/>
      <c r="AB24" s="566"/>
      <c r="AC24" s="566"/>
    </row>
    <row r="25" spans="3:29" ht="15" customHeight="1">
      <c r="C25" s="688" t="str">
        <f>IF(Indice_index!$Z$1=1,"Diferenças de consolidação","Consolidation differences")</f>
        <v>Consolidation differences</v>
      </c>
      <c r="D25" s="593"/>
      <c r="E25" s="818">
        <v>8.1899972800002416</v>
      </c>
      <c r="F25" s="247"/>
      <c r="G25" s="818">
        <v>0.92513933000000037</v>
      </c>
      <c r="H25" s="818">
        <v>0</v>
      </c>
      <c r="I25" s="818">
        <v>0</v>
      </c>
      <c r="J25" s="818">
        <v>0</v>
      </c>
      <c r="K25" s="818">
        <v>1.2959377700001582</v>
      </c>
      <c r="L25" s="818"/>
      <c r="M25" s="818">
        <v>0.20789207999999998</v>
      </c>
      <c r="N25" s="818">
        <v>0</v>
      </c>
      <c r="O25" s="818">
        <v>2.9029599999716993E-3</v>
      </c>
      <c r="P25" s="818">
        <v>0</v>
      </c>
      <c r="Q25" s="818">
        <v>0.21079503999997168</v>
      </c>
      <c r="R25" s="567"/>
      <c r="S25" s="568"/>
      <c r="T25" s="567"/>
      <c r="U25" s="569"/>
      <c r="V25" s="562"/>
      <c r="W25" s="562"/>
      <c r="X25" s="562"/>
      <c r="Y25" s="562"/>
      <c r="Z25" s="562"/>
      <c r="AA25" s="562"/>
      <c r="AB25" s="562"/>
      <c r="AC25" s="562"/>
    </row>
    <row r="26" spans="3:29" s="570" customFormat="1" ht="4.5" customHeight="1">
      <c r="C26" s="1353"/>
      <c r="D26" s="685"/>
      <c r="E26" s="1526"/>
      <c r="F26" s="685"/>
      <c r="G26" s="1526"/>
      <c r="H26" s="1526"/>
      <c r="I26" s="1526"/>
      <c r="J26" s="1526"/>
      <c r="K26" s="1526"/>
      <c r="L26" s="1526"/>
      <c r="M26" s="1526"/>
      <c r="N26" s="1526"/>
      <c r="O26" s="1526"/>
      <c r="P26" s="1526"/>
      <c r="Q26" s="1526"/>
      <c r="R26" s="567"/>
      <c r="S26" s="571"/>
      <c r="T26" s="567"/>
      <c r="U26" s="569"/>
      <c r="V26" s="562"/>
      <c r="W26" s="562"/>
      <c r="X26" s="572"/>
      <c r="Y26" s="572"/>
      <c r="Z26" s="572"/>
      <c r="AA26" s="572"/>
      <c r="AB26" s="562"/>
      <c r="AC26" s="562"/>
    </row>
    <row r="27" spans="3:29" s="559" customFormat="1" ht="13.5" customHeight="1">
      <c r="C27" s="1496" t="str">
        <f>IF(Indice_index!$Z$1=1,"Receita efetiva","Effective revenue")</f>
        <v>Effective revenue</v>
      </c>
      <c r="D27" s="320"/>
      <c r="E27" s="1527">
        <f>E9+E19</f>
        <v>91918.424411578613</v>
      </c>
      <c r="F27" s="1521"/>
      <c r="G27" s="1527">
        <f t="shared" ref="G27:J27" si="12">G9+G19</f>
        <v>16399.73005668</v>
      </c>
      <c r="H27" s="1527">
        <f t="shared" si="12"/>
        <v>13146.387582880001</v>
      </c>
      <c r="I27" s="1527">
        <f t="shared" si="12"/>
        <v>4417.8940713223083</v>
      </c>
      <c r="J27" s="1527">
        <f t="shared" si="12"/>
        <v>12699.736255349999</v>
      </c>
      <c r="K27" s="1527">
        <f>K9+K19</f>
        <v>31330.227664172304</v>
      </c>
      <c r="L27" s="1521"/>
      <c r="M27" s="1527">
        <f t="shared" ref="M27:P27" si="13">M9+M19</f>
        <v>19743.927169930001</v>
      </c>
      <c r="N27" s="1527">
        <f t="shared" si="13"/>
        <v>13636.709896700007</v>
      </c>
      <c r="O27" s="1527">
        <f t="shared" si="13"/>
        <v>4648.3989581498263</v>
      </c>
      <c r="P27" s="1527">
        <f t="shared" si="13"/>
        <v>13572.898866619998</v>
      </c>
      <c r="Q27" s="1527">
        <f>Q9+Q19</f>
        <v>36312.384346629835</v>
      </c>
      <c r="R27" s="564"/>
      <c r="S27" s="563"/>
      <c r="T27" s="564"/>
      <c r="U27" s="565"/>
      <c r="V27" s="566"/>
      <c r="W27" s="566"/>
      <c r="X27" s="566"/>
      <c r="Y27" s="566"/>
      <c r="Z27" s="566"/>
      <c r="AA27" s="566"/>
      <c r="AB27" s="566"/>
      <c r="AC27" s="566"/>
    </row>
    <row r="28" spans="3:29" s="570" customFormat="1" ht="4.5" customHeight="1">
      <c r="C28" s="1353"/>
      <c r="D28" s="685"/>
      <c r="E28" s="1526"/>
      <c r="F28" s="685"/>
      <c r="G28" s="1526"/>
      <c r="H28" s="1526"/>
      <c r="I28" s="1526"/>
      <c r="J28" s="1526"/>
      <c r="K28" s="1526"/>
      <c r="L28" s="1526"/>
      <c r="M28" s="1526"/>
      <c r="N28" s="1526"/>
      <c r="O28" s="1526"/>
      <c r="P28" s="1526"/>
      <c r="Q28" s="1526"/>
      <c r="R28" s="567"/>
      <c r="S28" s="571"/>
      <c r="T28" s="567"/>
      <c r="U28" s="569"/>
      <c r="V28" s="562"/>
      <c r="W28" s="562"/>
      <c r="X28" s="572"/>
      <c r="Y28" s="572"/>
      <c r="Z28" s="572"/>
      <c r="AA28" s="572"/>
      <c r="AB28" s="562"/>
      <c r="AC28" s="562"/>
    </row>
    <row r="29" spans="3:29" s="559" customFormat="1" ht="15" customHeight="1">
      <c r="C29" s="320" t="str">
        <f>IF(Indice_index!$Z$1=1,"Despesa corrente","Current expenditure")</f>
        <v>Current expenditure</v>
      </c>
      <c r="D29" s="1525"/>
      <c r="E29" s="1521">
        <f>E30+E34+E35+E36+E39+E40+E41</f>
        <v>92213.860103929823</v>
      </c>
      <c r="F29" s="247"/>
      <c r="G29" s="1521">
        <f>G30+G34+G35+G36+G39+G40+G41</f>
        <v>22013.494293020005</v>
      </c>
      <c r="H29" s="1521">
        <f t="shared" ref="H29:K29" si="14">H30+H34+H35+H36+H39+H40+H41</f>
        <v>11208.151599539975</v>
      </c>
      <c r="I29" s="1521">
        <f t="shared" si="14"/>
        <v>3525.641829265066</v>
      </c>
      <c r="J29" s="1521">
        <f t="shared" si="14"/>
        <v>12389.677553359998</v>
      </c>
      <c r="K29" s="1521">
        <f t="shared" si="14"/>
        <v>34424.956439945046</v>
      </c>
      <c r="L29" s="1521"/>
      <c r="M29" s="1521">
        <f>M30+M34+M35+M36+M39+M40+M41</f>
        <v>21997.326872920006</v>
      </c>
      <c r="N29" s="1521">
        <f t="shared" ref="N29" si="15">N30+N34+N35+N36+N39+N40+N41</f>
        <v>11597.574623740009</v>
      </c>
      <c r="O29" s="1521">
        <f t="shared" ref="O29" si="16">O30+O34+O35+O36+O39+O40+O41</f>
        <v>3721.284584968726</v>
      </c>
      <c r="P29" s="1521">
        <f t="shared" ref="P29" si="17">P30+P34+P35+P36+P39+P40+P41</f>
        <v>11525.11725058</v>
      </c>
      <c r="Q29" s="1521">
        <f t="shared" ref="Q29" si="18">Q30+Q34+Q35+Q36+Q39+Q40+Q41</f>
        <v>34197.237352448741</v>
      </c>
      <c r="R29" s="564"/>
      <c r="S29" s="563"/>
      <c r="T29" s="564"/>
      <c r="U29" s="565"/>
      <c r="V29" s="566"/>
      <c r="W29" s="566"/>
      <c r="X29" s="566"/>
      <c r="Y29" s="566"/>
      <c r="Z29" s="566"/>
      <c r="AA29" s="566"/>
      <c r="AB29" s="566"/>
      <c r="AC29" s="566"/>
    </row>
    <row r="30" spans="3:29" ht="15" customHeight="1">
      <c r="C30" s="688" t="str">
        <f>IF(Indice_index!$Z$1=1,"Despesas com o pessoal","Compensation of employees")</f>
        <v>Compensation of employees</v>
      </c>
      <c r="D30" s="593"/>
      <c r="E30" s="818">
        <f>E31+E32+E33</f>
        <v>23503.247919816382</v>
      </c>
      <c r="F30" s="247"/>
      <c r="G30" s="818">
        <f>G31+G32+G33</f>
        <v>3731.8766517300028</v>
      </c>
      <c r="H30" s="818">
        <f t="shared" ref="H30:M30" si="19">H31+H32+H33</f>
        <v>3085.747200239995</v>
      </c>
      <c r="I30" s="818">
        <f t="shared" si="19"/>
        <v>1632.126070805806</v>
      </c>
      <c r="J30" s="818">
        <f t="shared" si="19"/>
        <v>103.42591566000004</v>
      </c>
      <c r="K30" s="818">
        <f t="shared" si="19"/>
        <v>8553.1758384358054</v>
      </c>
      <c r="L30" s="818"/>
      <c r="M30" s="818">
        <f t="shared" si="19"/>
        <v>3725.3848043200069</v>
      </c>
      <c r="N30" s="818">
        <f t="shared" ref="N30" si="20">N31+N32+N33</f>
        <v>3138.2922872799991</v>
      </c>
      <c r="O30" s="818">
        <f t="shared" ref="O30" si="21">O31+O32+O33</f>
        <v>1770.7766222430816</v>
      </c>
      <c r="P30" s="818">
        <f t="shared" ref="P30" si="22">P31+P32+P33</f>
        <v>108.50757562999999</v>
      </c>
      <c r="Q30" s="818">
        <f t="shared" ref="Q30" si="23">Q31+Q32+Q33</f>
        <v>8742.961289473089</v>
      </c>
      <c r="R30" s="567"/>
      <c r="S30" s="568"/>
      <c r="T30" s="567"/>
      <c r="U30" s="569"/>
      <c r="V30" s="562"/>
      <c r="W30" s="562"/>
      <c r="X30" s="562"/>
      <c r="Y30" s="562"/>
      <c r="Z30" s="562"/>
      <c r="AA30" s="562"/>
      <c r="AB30" s="562"/>
      <c r="AC30" s="562"/>
    </row>
    <row r="31" spans="3:29" ht="15" customHeight="1">
      <c r="C31" s="1522" t="str">
        <f>IF(Indice_index!$Z$1=1,"Remunerações Certas e Permanentes","Certain and permanent wages")</f>
        <v>Certain and permanent wages</v>
      </c>
      <c r="D31" s="593"/>
      <c r="E31" s="818">
        <v>16863.182267150922</v>
      </c>
      <c r="F31" s="247"/>
      <c r="G31" s="818">
        <v>2651.9679766200034</v>
      </c>
      <c r="H31" s="818">
        <v>2114.7522999599955</v>
      </c>
      <c r="I31" s="818">
        <v>1216.9347666600306</v>
      </c>
      <c r="J31" s="818">
        <v>82.741872030000053</v>
      </c>
      <c r="K31" s="818">
        <v>6066.3969152700301</v>
      </c>
      <c r="L31" s="818"/>
      <c r="M31" s="818">
        <v>2672.9460264300078</v>
      </c>
      <c r="N31" s="818">
        <v>2172.74963123</v>
      </c>
      <c r="O31" s="818">
        <v>1320.6621030447009</v>
      </c>
      <c r="P31" s="818">
        <v>87.105219059999996</v>
      </c>
      <c r="Q31" s="818">
        <v>6253.4629797647085</v>
      </c>
      <c r="R31" s="567"/>
      <c r="S31" s="568"/>
      <c r="T31" s="567"/>
      <c r="U31" s="569"/>
      <c r="V31" s="562"/>
      <c r="W31" s="562"/>
      <c r="X31" s="562"/>
      <c r="Y31" s="562"/>
      <c r="Z31" s="562"/>
      <c r="AA31" s="562"/>
      <c r="AB31" s="562"/>
      <c r="AC31" s="562"/>
    </row>
    <row r="32" spans="3:29" ht="15" customHeight="1">
      <c r="C32" s="1522" t="str">
        <f>IF(Indice_index!$Z$1=1,"Abonos Variáveis ou Eventuais","Variable or contingent bonuses")</f>
        <v>Variable or contingent bonuses</v>
      </c>
      <c r="D32" s="593"/>
      <c r="E32" s="818">
        <v>1572.0595564559444</v>
      </c>
      <c r="F32" s="247"/>
      <c r="G32" s="818">
        <v>142.07474294999977</v>
      </c>
      <c r="H32" s="818">
        <v>391.06758478999978</v>
      </c>
      <c r="I32" s="818">
        <v>88.041447607688497</v>
      </c>
      <c r="J32" s="818">
        <v>1.7485909699999997</v>
      </c>
      <c r="K32" s="818">
        <v>622.93236631768809</v>
      </c>
      <c r="L32" s="818"/>
      <c r="M32" s="818">
        <v>148.97971049999998</v>
      </c>
      <c r="N32" s="818">
        <v>378.01663738999969</v>
      </c>
      <c r="O32" s="818">
        <v>103.24570659641641</v>
      </c>
      <c r="P32" s="818">
        <v>1.93191427</v>
      </c>
      <c r="Q32" s="818">
        <v>632.17396875641612</v>
      </c>
      <c r="R32" s="567"/>
      <c r="S32" s="568"/>
      <c r="T32" s="567"/>
      <c r="U32" s="569"/>
      <c r="V32" s="562"/>
      <c r="W32" s="562"/>
      <c r="X32" s="562"/>
      <c r="Y32" s="562"/>
      <c r="Z32" s="562"/>
      <c r="AA32" s="562"/>
      <c r="AB32" s="562"/>
      <c r="AC32" s="562"/>
    </row>
    <row r="33" spans="3:29" ht="15" customHeight="1">
      <c r="C33" s="1522" t="str">
        <f>IF(Indice_index!$Z$1=1,"Segurança social","Social security")</f>
        <v>Social security</v>
      </c>
      <c r="D33" s="593"/>
      <c r="E33" s="818">
        <v>5068.0060962095167</v>
      </c>
      <c r="F33" s="247"/>
      <c r="G33" s="818">
        <v>937.8339321599999</v>
      </c>
      <c r="H33" s="818">
        <v>579.92731548999961</v>
      </c>
      <c r="I33" s="818">
        <v>327.14985653808685</v>
      </c>
      <c r="J33" s="818">
        <v>18.935452659999999</v>
      </c>
      <c r="K33" s="818">
        <v>1863.8465568480863</v>
      </c>
      <c r="L33" s="818"/>
      <c r="M33" s="818">
        <v>903.45906738999952</v>
      </c>
      <c r="N33" s="818">
        <v>587.52601865999952</v>
      </c>
      <c r="O33" s="818">
        <v>346.86881260196452</v>
      </c>
      <c r="P33" s="818">
        <v>19.470442300000006</v>
      </c>
      <c r="Q33" s="818">
        <v>1857.3243409519637</v>
      </c>
      <c r="R33" s="567"/>
      <c r="S33" s="568"/>
      <c r="T33" s="567"/>
      <c r="U33" s="569"/>
      <c r="V33" s="562"/>
      <c r="W33" s="562"/>
      <c r="X33" s="562"/>
      <c r="Y33" s="562"/>
      <c r="Z33" s="562"/>
      <c r="AA33" s="562"/>
      <c r="AB33" s="562"/>
      <c r="AC33" s="562"/>
    </row>
    <row r="34" spans="3:29" ht="15" customHeight="1">
      <c r="C34" s="688" t="str">
        <f>IF(Indice_index!$Z$1=1,"Aquisição de bens e serviços","Purchase of goods and services")</f>
        <v>Purchase of goods and services</v>
      </c>
      <c r="D34" s="593"/>
      <c r="E34" s="818">
        <v>14824.748358832137</v>
      </c>
      <c r="F34" s="247"/>
      <c r="G34" s="818">
        <v>394.64690830000001</v>
      </c>
      <c r="H34" s="818">
        <v>3166.8084493699807</v>
      </c>
      <c r="I34" s="818">
        <v>1148.4527632658355</v>
      </c>
      <c r="J34" s="818">
        <v>33.014878339999996</v>
      </c>
      <c r="K34" s="818">
        <v>4742.4082433258163</v>
      </c>
      <c r="L34" s="818"/>
      <c r="M34" s="818">
        <v>490.81513387999945</v>
      </c>
      <c r="N34" s="818">
        <v>3554.2803766400029</v>
      </c>
      <c r="O34" s="818">
        <v>1240.5218654273997</v>
      </c>
      <c r="P34" s="818">
        <v>28.06863804999999</v>
      </c>
      <c r="Q34" s="818">
        <v>5313.4032423374019</v>
      </c>
      <c r="R34" s="567"/>
      <c r="S34" s="568"/>
      <c r="T34" s="567"/>
      <c r="U34" s="569"/>
      <c r="V34" s="562"/>
      <c r="W34" s="562"/>
      <c r="X34" s="562"/>
      <c r="Y34" s="562"/>
      <c r="Z34" s="562"/>
      <c r="AA34" s="562"/>
      <c r="AB34" s="562"/>
      <c r="AC34" s="562"/>
    </row>
    <row r="35" spans="3:29" ht="15" customHeight="1">
      <c r="C35" s="688" t="str">
        <f>IF(Indice_index!$Z$1=1,"Juros e outros encargos","Interests and other charges")</f>
        <v>Interests and other charges</v>
      </c>
      <c r="D35" s="593"/>
      <c r="E35" s="818">
        <v>6950.9798698186814</v>
      </c>
      <c r="F35" s="247"/>
      <c r="G35" s="818">
        <v>3250.2903329699993</v>
      </c>
      <c r="H35" s="818">
        <v>170.93266924999992</v>
      </c>
      <c r="I35" s="818">
        <v>48.362993076599338</v>
      </c>
      <c r="J35" s="818">
        <v>2.6931131699999993</v>
      </c>
      <c r="K35" s="818">
        <v>3357.718260306598</v>
      </c>
      <c r="L35" s="818"/>
      <c r="M35" s="818">
        <v>2801.3790475800001</v>
      </c>
      <c r="N35" s="818">
        <v>73.385002940000007</v>
      </c>
      <c r="O35" s="818">
        <v>59.142654073650888</v>
      </c>
      <c r="P35" s="818">
        <v>2.7199359699999999</v>
      </c>
      <c r="Q35" s="818">
        <v>2907.2278495736509</v>
      </c>
      <c r="R35" s="567"/>
      <c r="S35" s="568"/>
      <c r="T35" s="567"/>
      <c r="U35" s="569"/>
      <c r="V35" s="562"/>
      <c r="W35" s="562"/>
      <c r="X35" s="562"/>
      <c r="Y35" s="562"/>
      <c r="Z35" s="562"/>
      <c r="AA35" s="562"/>
      <c r="AB35" s="562"/>
      <c r="AC35" s="562"/>
    </row>
    <row r="36" spans="3:29" ht="15" customHeight="1">
      <c r="C36" s="688" t="str">
        <f>IF(Indice_index!$Z$1=1,"Transferências correntes","Current transfers")</f>
        <v>Current transfers</v>
      </c>
      <c r="D36" s="593"/>
      <c r="E36" s="818">
        <v>43772.156764577245</v>
      </c>
      <c r="F36" s="247"/>
      <c r="G36" s="818">
        <v>14456.501923060001</v>
      </c>
      <c r="H36" s="818">
        <v>4385.20855957</v>
      </c>
      <c r="I36" s="818">
        <v>416.05971750269498</v>
      </c>
      <c r="J36" s="818">
        <v>11773.123305359997</v>
      </c>
      <c r="K36" s="818">
        <v>16689.635657512692</v>
      </c>
      <c r="L36" s="818"/>
      <c r="M36" s="818">
        <v>14683.271160939999</v>
      </c>
      <c r="N36" s="818">
        <v>4470.4891819100039</v>
      </c>
      <c r="O36" s="818">
        <v>415.52001253034234</v>
      </c>
      <c r="P36" s="818">
        <v>11010.055089320002</v>
      </c>
      <c r="Q36" s="818">
        <v>16069.822109480348</v>
      </c>
      <c r="R36" s="567"/>
      <c r="S36" s="568"/>
      <c r="T36" s="567"/>
      <c r="U36" s="569"/>
      <c r="V36" s="562"/>
      <c r="W36" s="562"/>
      <c r="X36" s="562"/>
      <c r="Y36" s="562"/>
      <c r="Z36" s="562"/>
      <c r="AA36" s="562"/>
      <c r="AB36" s="562"/>
      <c r="AC36" s="562"/>
    </row>
    <row r="37" spans="3:29" ht="15" customHeight="1">
      <c r="C37" s="1522" t="str">
        <f>IF(Indice_index!$Z$1=1,"Administrações Públicas","General Government subsectors")</f>
        <v>General Government subsectors</v>
      </c>
      <c r="D37" s="593"/>
      <c r="E37" s="818">
        <v>0</v>
      </c>
      <c r="F37" s="247"/>
      <c r="G37" s="818">
        <v>13109.379783520002</v>
      </c>
      <c r="H37" s="818">
        <v>425.63243183000003</v>
      </c>
      <c r="I37" s="818">
        <v>56.093582310000023</v>
      </c>
      <c r="J37" s="818">
        <v>750.15205031999994</v>
      </c>
      <c r="K37" s="818">
        <v>0</v>
      </c>
      <c r="L37" s="818"/>
      <c r="M37" s="818">
        <v>13295.848650119999</v>
      </c>
      <c r="N37" s="818">
        <v>363.56562945999997</v>
      </c>
      <c r="O37" s="818">
        <v>66.523444939999976</v>
      </c>
      <c r="P37" s="818">
        <v>783.57561069999997</v>
      </c>
      <c r="Q37" s="818">
        <v>0</v>
      </c>
      <c r="R37" s="567"/>
      <c r="S37" s="568"/>
      <c r="T37" s="567"/>
      <c r="U37" s="569"/>
      <c r="V37" s="562"/>
      <c r="W37" s="562"/>
      <c r="X37" s="562"/>
      <c r="Y37" s="562"/>
      <c r="Z37" s="562"/>
      <c r="AA37" s="562"/>
      <c r="AB37" s="562"/>
      <c r="AC37" s="562"/>
    </row>
    <row r="38" spans="3:29" ht="15" customHeight="1">
      <c r="C38" s="1522" t="str">
        <f>IF(Indice_index!$Z$1=1,"Outras","Others")</f>
        <v>Others</v>
      </c>
      <c r="D38" s="593"/>
      <c r="E38" s="1523">
        <v>43772.156764577245</v>
      </c>
      <c r="F38" s="1524"/>
      <c r="G38" s="1523">
        <v>1347.1221395399994</v>
      </c>
      <c r="H38" s="1523">
        <v>3959.5761277399997</v>
      </c>
      <c r="I38" s="1523">
        <v>359.96613519269494</v>
      </c>
      <c r="J38" s="1523">
        <v>11022.971255039998</v>
      </c>
      <c r="K38" s="1523">
        <v>16689.635657512692</v>
      </c>
      <c r="L38" s="1523"/>
      <c r="M38" s="1523">
        <v>1387.4225108199998</v>
      </c>
      <c r="N38" s="1523">
        <v>4106.9235524500036</v>
      </c>
      <c r="O38" s="1523">
        <v>348.99656759034235</v>
      </c>
      <c r="P38" s="1523">
        <v>10226.479478620002</v>
      </c>
      <c r="Q38" s="1523">
        <v>16069.822109480348</v>
      </c>
      <c r="R38" s="567"/>
      <c r="S38" s="568"/>
      <c r="T38" s="567"/>
      <c r="U38" s="569"/>
      <c r="V38" s="562"/>
      <c r="W38" s="562"/>
      <c r="X38" s="562"/>
      <c r="Y38" s="562"/>
      <c r="Z38" s="562"/>
      <c r="AA38" s="562"/>
      <c r="AB38" s="562"/>
      <c r="AC38" s="562"/>
    </row>
    <row r="39" spans="3:29" ht="15" customHeight="1">
      <c r="C39" s="688" t="str">
        <f>IF(Indice_index!$Z$1=1,"Subsídios","Subsidies")</f>
        <v>Subsidies</v>
      </c>
      <c r="D39" s="593"/>
      <c r="E39" s="818">
        <v>2149.9127327166143</v>
      </c>
      <c r="F39" s="247"/>
      <c r="G39" s="818">
        <v>9.8775904500000031</v>
      </c>
      <c r="H39" s="818">
        <v>351.19148896000019</v>
      </c>
      <c r="I39" s="818">
        <v>236.27114496580054</v>
      </c>
      <c r="J39" s="818">
        <v>473.06873936</v>
      </c>
      <c r="K39" s="818">
        <v>814.73358058580061</v>
      </c>
      <c r="L39" s="818"/>
      <c r="M39" s="818">
        <v>121.04106964999998</v>
      </c>
      <c r="N39" s="818">
        <v>305.56776802000007</v>
      </c>
      <c r="O39" s="818">
        <v>176.5320830896147</v>
      </c>
      <c r="P39" s="818">
        <v>371.08600360999998</v>
      </c>
      <c r="Q39" s="818">
        <v>869.35584247961481</v>
      </c>
      <c r="R39" s="567"/>
      <c r="S39" s="568"/>
      <c r="T39" s="567"/>
      <c r="U39" s="569"/>
      <c r="V39" s="562"/>
      <c r="W39" s="562"/>
      <c r="X39" s="562"/>
      <c r="Y39" s="562"/>
      <c r="Z39" s="562"/>
      <c r="AA39" s="562"/>
      <c r="AB39" s="562"/>
      <c r="AC39" s="562"/>
    </row>
    <row r="40" spans="3:29" ht="15" customHeight="1">
      <c r="C40" s="688" t="str">
        <f>IF(Indice_index!$Z$1=1,"Outras despesas correntes","Other current expenditures")</f>
        <v>Other current expenditures</v>
      </c>
      <c r="D40" s="593"/>
      <c r="E40" s="818">
        <v>767.44553545876136</v>
      </c>
      <c r="F40" s="247"/>
      <c r="G40" s="818">
        <v>152.93799302000005</v>
      </c>
      <c r="H40" s="818">
        <v>48.26323215</v>
      </c>
      <c r="I40" s="818">
        <v>44.369139648329728</v>
      </c>
      <c r="J40" s="818">
        <v>4.3516014700000003</v>
      </c>
      <c r="K40" s="818">
        <v>249.92196628832977</v>
      </c>
      <c r="L40" s="818"/>
      <c r="M40" s="818">
        <v>173.52198443000006</v>
      </c>
      <c r="N40" s="818">
        <v>45.931583910000029</v>
      </c>
      <c r="O40" s="818">
        <v>58.791347604636584</v>
      </c>
      <c r="P40" s="818">
        <v>4.6800079999999999</v>
      </c>
      <c r="Q40" s="818">
        <v>282.92492394463665</v>
      </c>
      <c r="R40" s="567"/>
      <c r="S40" s="568"/>
      <c r="T40" s="567"/>
      <c r="U40" s="569"/>
      <c r="V40" s="562"/>
      <c r="W40" s="562"/>
      <c r="X40" s="562"/>
      <c r="Y40" s="562"/>
      <c r="Z40" s="562"/>
      <c r="AA40" s="562"/>
      <c r="AB40" s="562"/>
      <c r="AC40" s="562"/>
    </row>
    <row r="41" spans="3:29" ht="15" customHeight="1">
      <c r="C41" s="688" t="str">
        <f>IF(Indice_index!$Z$1=1,"Diferenças de consolidação","Consolidation differences")</f>
        <v>Consolidation differences</v>
      </c>
      <c r="D41" s="593"/>
      <c r="E41" s="818">
        <v>245.36892270998956</v>
      </c>
      <c r="F41" s="247"/>
      <c r="G41" s="818">
        <v>17.362893489999976</v>
      </c>
      <c r="H41" s="818">
        <v>0</v>
      </c>
      <c r="I41" s="818">
        <v>0</v>
      </c>
      <c r="J41" s="818">
        <v>0</v>
      </c>
      <c r="K41" s="818">
        <v>17.362893489999976</v>
      </c>
      <c r="L41" s="818"/>
      <c r="M41" s="818">
        <v>1.9136721199999727</v>
      </c>
      <c r="N41" s="818">
        <v>9.6284230400010529</v>
      </c>
      <c r="O41" s="818">
        <v>0</v>
      </c>
      <c r="P41" s="818">
        <v>0</v>
      </c>
      <c r="Q41" s="818">
        <v>11.542095160001026</v>
      </c>
      <c r="R41" s="567"/>
      <c r="S41" s="568"/>
      <c r="T41" s="567"/>
      <c r="U41" s="569"/>
      <c r="V41" s="562"/>
      <c r="W41" s="562"/>
      <c r="X41" s="562"/>
      <c r="Y41" s="562"/>
      <c r="Z41" s="562"/>
      <c r="AA41" s="562"/>
      <c r="AB41" s="562"/>
      <c r="AC41" s="562"/>
    </row>
    <row r="42" spans="3:29" s="559" customFormat="1" ht="15" customHeight="1">
      <c r="C42" s="320" t="str">
        <f>IF(Indice_index!$Z$1=1,"Despesa de capital","Capital expenditure")</f>
        <v>Capital expenditure</v>
      </c>
      <c r="D42" s="1525"/>
      <c r="E42" s="1521">
        <f>E43+E44+E47+E48</f>
        <v>8347.7309172296245</v>
      </c>
      <c r="F42" s="247"/>
      <c r="G42" s="1521">
        <f>G43+G44+G47+G48</f>
        <v>759.91352239000003</v>
      </c>
      <c r="H42" s="1521">
        <f t="shared" ref="H42:K42" si="24">H43+H44+H47+H48</f>
        <v>1305.3061420700003</v>
      </c>
      <c r="I42" s="1521">
        <f t="shared" si="24"/>
        <v>1044.2354638591298</v>
      </c>
      <c r="J42" s="1521">
        <f t="shared" si="24"/>
        <v>10.99321454</v>
      </c>
      <c r="K42" s="1521">
        <f t="shared" si="24"/>
        <v>2498.9368760391299</v>
      </c>
      <c r="L42" s="1521"/>
      <c r="M42" s="1521">
        <f>M43+M44+M47+M48</f>
        <v>894.09472863999997</v>
      </c>
      <c r="N42" s="1521">
        <f t="shared" ref="N42" si="25">N43+N44+N47+N48</f>
        <v>1256.4154991500002</v>
      </c>
      <c r="O42" s="1521">
        <f t="shared" ref="O42" si="26">O43+O44+O47+O48</f>
        <v>1016.2819372770111</v>
      </c>
      <c r="P42" s="1521">
        <f t="shared" ref="P42" si="27">P43+P44+P47+P48</f>
        <v>4.4604064099999992</v>
      </c>
      <c r="Q42" s="1521">
        <f t="shared" ref="Q42" si="28">Q43+Q44+Q47+Q48</f>
        <v>2525.7680064670117</v>
      </c>
      <c r="R42" s="564"/>
      <c r="S42" s="573"/>
      <c r="T42" s="564"/>
      <c r="U42" s="565"/>
      <c r="V42" s="566"/>
      <c r="W42" s="566"/>
      <c r="X42" s="566"/>
      <c r="Y42" s="566"/>
      <c r="Z42" s="566"/>
      <c r="AA42" s="566"/>
      <c r="AB42" s="566"/>
      <c r="AC42" s="566"/>
    </row>
    <row r="43" spans="3:29" ht="15" customHeight="1">
      <c r="C43" s="688" t="str">
        <f>IF(Indice_index!$Z$1=1,"Investimentos","Investments")</f>
        <v>Investments</v>
      </c>
      <c r="D43" s="593"/>
      <c r="E43" s="818">
        <v>6350.2217419787266</v>
      </c>
      <c r="F43" s="247"/>
      <c r="G43" s="818">
        <v>121.92183413999994</v>
      </c>
      <c r="H43" s="818">
        <v>1029.9987660400002</v>
      </c>
      <c r="I43" s="818">
        <v>877.69872906281716</v>
      </c>
      <c r="J43" s="818">
        <v>10.69506704</v>
      </c>
      <c r="K43" s="818">
        <v>2040.3143962828171</v>
      </c>
      <c r="L43" s="818"/>
      <c r="M43" s="818">
        <v>246.10824476999997</v>
      </c>
      <c r="N43" s="818">
        <v>1026.8714779200002</v>
      </c>
      <c r="O43" s="818">
        <v>842.83426292216075</v>
      </c>
      <c r="P43" s="818">
        <v>4.2666486999999993</v>
      </c>
      <c r="Q43" s="818">
        <v>2120.0806343121608</v>
      </c>
      <c r="R43" s="567"/>
      <c r="S43" s="568"/>
      <c r="T43" s="567"/>
      <c r="U43" s="569"/>
      <c r="V43" s="562"/>
      <c r="W43" s="562"/>
      <c r="X43" s="562"/>
      <c r="Y43" s="562"/>
      <c r="Z43" s="562"/>
      <c r="AA43" s="562"/>
      <c r="AB43" s="562"/>
      <c r="AC43" s="562"/>
    </row>
    <row r="44" spans="3:29" ht="15" customHeight="1">
      <c r="C44" s="688" t="str">
        <f>IF(Indice_index!$Z$1=1,"Transferências de capital","Capital transfers")</f>
        <v>Capital transfers</v>
      </c>
      <c r="D44" s="593"/>
      <c r="E44" s="818">
        <v>1784.3860212726904</v>
      </c>
      <c r="F44" s="247"/>
      <c r="G44" s="818">
        <v>633.33364047999999</v>
      </c>
      <c r="H44" s="818">
        <v>268.05339020999998</v>
      </c>
      <c r="I44" s="818">
        <v>162.43946719216223</v>
      </c>
      <c r="J44" s="818">
        <v>0.29814750000000001</v>
      </c>
      <c r="K44" s="818">
        <v>442.6131785621622</v>
      </c>
      <c r="L44" s="818"/>
      <c r="M44" s="818">
        <v>645.27119403000006</v>
      </c>
      <c r="N44" s="818">
        <v>202.78905588000003</v>
      </c>
      <c r="O44" s="818">
        <v>170.61732102998897</v>
      </c>
      <c r="P44" s="818">
        <v>0.19375771</v>
      </c>
      <c r="Q44" s="818">
        <v>370.62855140998897</v>
      </c>
      <c r="R44" s="567"/>
      <c r="S44" s="568"/>
      <c r="T44" s="567"/>
      <c r="U44" s="569"/>
      <c r="V44" s="562"/>
      <c r="W44" s="562"/>
      <c r="X44" s="562"/>
      <c r="Y44" s="562"/>
      <c r="Z44" s="562"/>
      <c r="AA44" s="562"/>
      <c r="AB44" s="562"/>
      <c r="AC44" s="562"/>
    </row>
    <row r="45" spans="3:29" ht="15" customHeight="1">
      <c r="C45" s="1522" t="str">
        <f>IF(Indice_index!$Z$1=1,"Administrações Públicas","General Government subsectors")</f>
        <v>General Government subsectors</v>
      </c>
      <c r="D45" s="593"/>
      <c r="E45" s="818">
        <v>0</v>
      </c>
      <c r="F45" s="247"/>
      <c r="G45" s="818">
        <v>606.50086401999999</v>
      </c>
      <c r="H45" s="818">
        <v>11.35387083</v>
      </c>
      <c r="I45" s="818">
        <v>3.6567319699999965</v>
      </c>
      <c r="J45" s="818">
        <v>0</v>
      </c>
      <c r="K45" s="818">
        <v>0</v>
      </c>
      <c r="L45" s="818"/>
      <c r="M45" s="818">
        <v>624.53111117000003</v>
      </c>
      <c r="N45" s="818">
        <v>18.320888879999998</v>
      </c>
      <c r="O45" s="818">
        <v>5.3907771900000006</v>
      </c>
      <c r="P45" s="818">
        <v>0</v>
      </c>
      <c r="Q45" s="818">
        <v>0</v>
      </c>
      <c r="R45" s="567"/>
      <c r="S45" s="568"/>
      <c r="T45" s="567"/>
      <c r="U45" s="569"/>
      <c r="V45" s="562"/>
      <c r="W45" s="562"/>
      <c r="X45" s="562"/>
      <c r="Y45" s="562"/>
      <c r="Z45" s="562"/>
      <c r="AA45" s="562"/>
      <c r="AB45" s="562"/>
      <c r="AC45" s="562"/>
    </row>
    <row r="46" spans="3:29" ht="15" customHeight="1">
      <c r="C46" s="1522" t="str">
        <f>IF(Indice_index!$Z$1=1,"Outras","Others")</f>
        <v>Others</v>
      </c>
      <c r="D46" s="593"/>
      <c r="E46" s="1523">
        <v>1784.3860212726904</v>
      </c>
      <c r="F46" s="1524"/>
      <c r="G46" s="1523">
        <v>26.832776459999998</v>
      </c>
      <c r="H46" s="1523">
        <v>256.69951937999997</v>
      </c>
      <c r="I46" s="1523">
        <v>158.78273522216222</v>
      </c>
      <c r="J46" s="1523">
        <v>0.29814750000000001</v>
      </c>
      <c r="K46" s="1523">
        <v>442.6131785621622</v>
      </c>
      <c r="L46" s="1523"/>
      <c r="M46" s="1523">
        <v>20.740082859999998</v>
      </c>
      <c r="N46" s="1523">
        <v>184.46816700000002</v>
      </c>
      <c r="O46" s="1523">
        <v>165.22654383998898</v>
      </c>
      <c r="P46" s="1523">
        <v>0.19375771</v>
      </c>
      <c r="Q46" s="1523">
        <v>370.62855140998897</v>
      </c>
      <c r="R46" s="567"/>
      <c r="S46" s="568"/>
      <c r="T46" s="567"/>
      <c r="U46" s="569"/>
      <c r="V46" s="562"/>
      <c r="W46" s="562"/>
      <c r="X46" s="562"/>
      <c r="Y46" s="562"/>
      <c r="Z46" s="562"/>
      <c r="AA46" s="562"/>
      <c r="AB46" s="562"/>
      <c r="AC46" s="562"/>
    </row>
    <row r="47" spans="3:29" ht="15" customHeight="1">
      <c r="C47" s="688" t="str">
        <f>IF(Indice_index!$Z$1=1,"Outras despesas de capital","Other capital expenditures")</f>
        <v>Other capital expenditures</v>
      </c>
      <c r="D47" s="593"/>
      <c r="E47" s="818">
        <v>161.298410108208</v>
      </c>
      <c r="F47" s="247"/>
      <c r="G47" s="818">
        <v>4.6580477700000005</v>
      </c>
      <c r="H47" s="818">
        <v>3.5530789399999998</v>
      </c>
      <c r="I47" s="818">
        <v>4.0972676041503853</v>
      </c>
      <c r="J47" s="818">
        <v>0</v>
      </c>
      <c r="K47" s="818">
        <v>12.308394314150386</v>
      </c>
      <c r="L47" s="818"/>
      <c r="M47" s="818">
        <v>2.7152898400000005</v>
      </c>
      <c r="N47" s="818">
        <v>15.66510214</v>
      </c>
      <c r="O47" s="818">
        <v>2.8303533248615005</v>
      </c>
      <c r="P47" s="818">
        <v>0</v>
      </c>
      <c r="Q47" s="818">
        <v>21.210745304861497</v>
      </c>
      <c r="R47" s="567"/>
      <c r="S47" s="568"/>
      <c r="T47" s="567"/>
      <c r="U47" s="569"/>
      <c r="V47" s="562"/>
      <c r="W47" s="562"/>
      <c r="X47" s="562"/>
      <c r="Y47" s="562"/>
      <c r="Z47" s="562"/>
      <c r="AA47" s="562"/>
      <c r="AB47" s="562"/>
      <c r="AC47" s="562"/>
    </row>
    <row r="48" spans="3:29" ht="15" customHeight="1">
      <c r="C48" s="688" t="str">
        <f>IF(Indice_index!$Z$1=1,"Diferenças de consolidação","Consolidation differences")</f>
        <v>Consolidation differences</v>
      </c>
      <c r="D48" s="593"/>
      <c r="E48" s="818">
        <v>51.824743870000162</v>
      </c>
      <c r="F48" s="247"/>
      <c r="G48" s="818">
        <v>0</v>
      </c>
      <c r="H48" s="818">
        <v>3.7009068799999767</v>
      </c>
      <c r="I48" s="818">
        <v>0</v>
      </c>
      <c r="J48" s="818">
        <v>0</v>
      </c>
      <c r="K48" s="818">
        <v>3.7009068799999767</v>
      </c>
      <c r="L48" s="818"/>
      <c r="M48" s="818">
        <v>0</v>
      </c>
      <c r="N48" s="818">
        <v>11.089863209999976</v>
      </c>
      <c r="O48" s="818">
        <v>0</v>
      </c>
      <c r="P48" s="818">
        <v>0</v>
      </c>
      <c r="Q48" s="818">
        <v>13.848075440000116</v>
      </c>
      <c r="R48" s="567"/>
      <c r="S48" s="568"/>
      <c r="T48" s="567"/>
      <c r="U48" s="569"/>
      <c r="V48" s="562"/>
      <c r="W48" s="562"/>
      <c r="X48" s="562"/>
      <c r="Y48" s="562"/>
      <c r="Z48" s="562"/>
      <c r="AA48" s="562"/>
      <c r="AB48" s="562"/>
      <c r="AC48" s="562"/>
    </row>
    <row r="49" spans="3:29" s="570" customFormat="1" ht="4.5" customHeight="1">
      <c r="C49" s="685"/>
      <c r="D49" s="685"/>
      <c r="E49" s="1528"/>
      <c r="F49" s="685"/>
      <c r="G49" s="1528"/>
      <c r="H49" s="1528"/>
      <c r="I49" s="1528"/>
      <c r="J49" s="1528"/>
      <c r="K49" s="1528"/>
      <c r="L49" s="1528"/>
      <c r="M49" s="1528"/>
      <c r="N49" s="1528"/>
      <c r="O49" s="1528"/>
      <c r="P49" s="1528"/>
      <c r="Q49" s="1528"/>
      <c r="R49" s="567"/>
      <c r="S49" s="568"/>
      <c r="T49" s="568"/>
      <c r="U49" s="569"/>
      <c r="V49" s="562"/>
      <c r="W49" s="562"/>
      <c r="X49" s="568"/>
      <c r="Y49" s="568"/>
      <c r="Z49" s="569"/>
      <c r="AA49" s="562"/>
      <c r="AB49" s="562"/>
      <c r="AC49" s="562"/>
    </row>
    <row r="50" spans="3:29" s="559" customFormat="1" ht="15" customHeight="1">
      <c r="C50" s="1496" t="str">
        <f>IF(Indice_index!$Z$1=1,"Despesa efetiva","Effective expenditure")</f>
        <v>Effective expenditure</v>
      </c>
      <c r="D50" s="320"/>
      <c r="E50" s="1527">
        <f>E29+E42</f>
        <v>100561.59102115945</v>
      </c>
      <c r="F50" s="1521"/>
      <c r="G50" s="1527">
        <f t="shared" ref="G50:J50" si="29">G29+G42</f>
        <v>22773.407815410006</v>
      </c>
      <c r="H50" s="1527">
        <f t="shared" si="29"/>
        <v>12513.457741609975</v>
      </c>
      <c r="I50" s="1527">
        <f t="shared" si="29"/>
        <v>4569.8772931241956</v>
      </c>
      <c r="J50" s="1527">
        <f t="shared" si="29"/>
        <v>12400.670767899997</v>
      </c>
      <c r="K50" s="1527">
        <f>K29+K42</f>
        <v>36923.893315984176</v>
      </c>
      <c r="L50" s="1521"/>
      <c r="M50" s="1527">
        <f t="shared" ref="M50:P50" si="30">M29+M42</f>
        <v>22891.421601560007</v>
      </c>
      <c r="N50" s="1527">
        <f t="shared" si="30"/>
        <v>12853.990122890009</v>
      </c>
      <c r="O50" s="1527">
        <f t="shared" si="30"/>
        <v>4737.5665222457374</v>
      </c>
      <c r="P50" s="1527">
        <f t="shared" si="30"/>
        <v>11529.577656990001</v>
      </c>
      <c r="Q50" s="1527">
        <f>Q29+Q42</f>
        <v>36723.005358915754</v>
      </c>
      <c r="R50" s="564"/>
      <c r="S50" s="573"/>
      <c r="T50" s="564"/>
      <c r="U50" s="565"/>
      <c r="V50" s="566"/>
      <c r="W50" s="566"/>
      <c r="X50" s="573"/>
      <c r="Y50" s="564"/>
      <c r="Z50" s="565"/>
      <c r="AA50" s="566"/>
      <c r="AB50" s="566"/>
      <c r="AC50" s="566"/>
    </row>
    <row r="51" spans="3:29" s="570" customFormat="1" ht="4.5" customHeight="1">
      <c r="C51" s="688"/>
      <c r="D51" s="688"/>
      <c r="E51" s="1529"/>
      <c r="F51" s="1530"/>
      <c r="G51" s="1529"/>
      <c r="H51" s="1529"/>
      <c r="I51" s="1529"/>
      <c r="J51" s="1529"/>
      <c r="K51" s="1529"/>
      <c r="L51" s="1531"/>
      <c r="M51" s="1529"/>
      <c r="N51" s="1529"/>
      <c r="O51" s="1529"/>
      <c r="P51" s="1529"/>
      <c r="Q51" s="1529"/>
      <c r="R51" s="567"/>
      <c r="S51" s="568"/>
      <c r="T51" s="567"/>
      <c r="U51" s="569"/>
      <c r="V51" s="562"/>
      <c r="W51" s="562"/>
      <c r="X51" s="562"/>
      <c r="Y51" s="562"/>
      <c r="Z51" s="562"/>
      <c r="AA51" s="562"/>
      <c r="AB51" s="562"/>
      <c r="AC51" s="562"/>
    </row>
    <row r="52" spans="3:29" s="559" customFormat="1" ht="15" customHeight="1">
      <c r="C52" s="1496" t="str">
        <f>IF(Indice_index!$Z$1=1,"Saldo global","Overall balance")</f>
        <v>Overall balance</v>
      </c>
      <c r="D52" s="320"/>
      <c r="E52" s="1527">
        <f>+E27-E50</f>
        <v>-8643.1666095808323</v>
      </c>
      <c r="F52" s="1521"/>
      <c r="G52" s="1527">
        <f t="shared" ref="G52:J52" si="31">+G27-G50</f>
        <v>-6373.6777587300057</v>
      </c>
      <c r="H52" s="1527">
        <f t="shared" si="31"/>
        <v>632.92984127002637</v>
      </c>
      <c r="I52" s="1527">
        <f t="shared" si="31"/>
        <v>-151.98322180188734</v>
      </c>
      <c r="J52" s="1527">
        <f t="shared" si="31"/>
        <v>299.06548745000146</v>
      </c>
      <c r="K52" s="1527">
        <f>+K27-K50</f>
        <v>-5593.6656518118725</v>
      </c>
      <c r="L52" s="1521"/>
      <c r="M52" s="1527">
        <f t="shared" ref="M52:P52" si="32">+M27-M50</f>
        <v>-3147.4944316300061</v>
      </c>
      <c r="N52" s="1527">
        <f t="shared" si="32"/>
        <v>782.71977380999851</v>
      </c>
      <c r="O52" s="1527">
        <f t="shared" si="32"/>
        <v>-89.167564095911075</v>
      </c>
      <c r="P52" s="1527">
        <f t="shared" si="32"/>
        <v>2043.3212096299976</v>
      </c>
      <c r="Q52" s="1527">
        <f>+Q27-Q50</f>
        <v>-410.62101228591928</v>
      </c>
      <c r="R52" s="564"/>
      <c r="AB52" s="566"/>
      <c r="AC52" s="566"/>
    </row>
    <row r="53" spans="3:29" ht="15" customHeight="1">
      <c r="C53" s="683" t="str">
        <f>IF(Indice_index!$Z$1=1,"Despesa primária","Primary expenditure")</f>
        <v>Primary expenditure</v>
      </c>
      <c r="D53" s="684"/>
      <c r="E53" s="684">
        <f t="shared" ref="E53" si="33">E50-E35</f>
        <v>93610.611151340767</v>
      </c>
      <c r="F53" s="684"/>
      <c r="G53" s="684">
        <f t="shared" ref="G53:K53" si="34">G50-G35</f>
        <v>19523.117482440008</v>
      </c>
      <c r="H53" s="684">
        <f t="shared" si="34"/>
        <v>12342.525072359975</v>
      </c>
      <c r="I53" s="684">
        <f t="shared" si="34"/>
        <v>4521.5143000475964</v>
      </c>
      <c r="J53" s="684">
        <f t="shared" si="34"/>
        <v>12397.977654729997</v>
      </c>
      <c r="K53" s="684">
        <f t="shared" si="34"/>
        <v>33566.175055677581</v>
      </c>
      <c r="L53" s="684"/>
      <c r="M53" s="684">
        <f t="shared" ref="M53:Q53" si="35">M50-M35</f>
        <v>20090.042553980005</v>
      </c>
      <c r="N53" s="684">
        <f t="shared" si="35"/>
        <v>12780.605119950009</v>
      </c>
      <c r="O53" s="684">
        <f t="shared" si="35"/>
        <v>4678.4238681720863</v>
      </c>
      <c r="P53" s="684">
        <f t="shared" si="35"/>
        <v>11526.85772102</v>
      </c>
      <c r="Q53" s="684">
        <f t="shared" si="35"/>
        <v>33815.777509342101</v>
      </c>
      <c r="R53" s="567"/>
      <c r="V53" s="17"/>
      <c r="W53" s="17"/>
      <c r="X53" s="17"/>
      <c r="Y53" s="17"/>
      <c r="Z53" s="17"/>
      <c r="AA53" s="17"/>
      <c r="AB53" s="562"/>
      <c r="AC53" s="562"/>
    </row>
    <row r="54" spans="3:29" ht="15" customHeight="1">
      <c r="C54" s="683" t="str">
        <f>IF(Indice_index!$Z$1=1," Saldo corrente","Current balance")</f>
        <v>Current balance</v>
      </c>
      <c r="D54" s="684"/>
      <c r="E54" s="684">
        <f t="shared" ref="E54" si="36">E9-E29</f>
        <v>-2447.8649637054041</v>
      </c>
      <c r="F54" s="684"/>
      <c r="G54" s="684">
        <f t="shared" ref="G54:K54" si="37">G9-G29</f>
        <v>-5660.4486710800047</v>
      </c>
      <c r="H54" s="684">
        <f t="shared" si="37"/>
        <v>1053.4469416800257</v>
      </c>
      <c r="I54" s="684">
        <f t="shared" si="37"/>
        <v>282.99943191501461</v>
      </c>
      <c r="J54" s="684">
        <f t="shared" si="37"/>
        <v>309.91329431000122</v>
      </c>
      <c r="K54" s="684">
        <f t="shared" si="37"/>
        <v>-4014.0890031749695</v>
      </c>
      <c r="L54" s="684"/>
      <c r="M54" s="684">
        <f>M9-M29</f>
        <v>-2519.3179872900073</v>
      </c>
      <c r="N54" s="684">
        <f t="shared" ref="N54:Q54" si="38">N9-N29</f>
        <v>1081.1453454799994</v>
      </c>
      <c r="O54" s="684">
        <f t="shared" si="38"/>
        <v>456.73728695536238</v>
      </c>
      <c r="P54" s="684">
        <f t="shared" si="38"/>
        <v>2047.4692829099986</v>
      </c>
      <c r="Q54" s="684">
        <f t="shared" si="38"/>
        <v>1066.0339280553526</v>
      </c>
      <c r="R54" s="567"/>
      <c r="V54" s="17"/>
      <c r="W54" s="17"/>
      <c r="X54" s="17"/>
      <c r="Y54" s="17"/>
      <c r="Z54" s="17"/>
      <c r="AA54" s="17"/>
      <c r="AB54" s="562"/>
      <c r="AC54" s="562"/>
    </row>
    <row r="55" spans="3:29" ht="15" customHeight="1">
      <c r="C55" s="683" t="str">
        <f>IF(Indice_index!$Z$1=1,"Saldo de capital","Capital balance")</f>
        <v>Capital balance</v>
      </c>
      <c r="D55" s="180"/>
      <c r="E55" s="818">
        <f t="shared" ref="E55" si="39">E19-E42</f>
        <v>-6195.3016458754337</v>
      </c>
      <c r="F55" s="818"/>
      <c r="G55" s="818">
        <f t="shared" ref="G55:K55" si="40">G19-G42</f>
        <v>-713.22908765</v>
      </c>
      <c r="H55" s="818">
        <f t="shared" si="40"/>
        <v>-420.51710041000047</v>
      </c>
      <c r="I55" s="818">
        <f t="shared" si="40"/>
        <v>-434.98265371690252</v>
      </c>
      <c r="J55" s="818">
        <f t="shared" si="40"/>
        <v>-10.84780686</v>
      </c>
      <c r="K55" s="818">
        <f t="shared" si="40"/>
        <v>-1579.5766486369025</v>
      </c>
      <c r="L55" s="818"/>
      <c r="M55" s="818">
        <f>M19-M42</f>
        <v>-628.17644433999999</v>
      </c>
      <c r="N55" s="818">
        <f t="shared" ref="N55:Q55" si="41">N19-N42</f>
        <v>-298.42557167000041</v>
      </c>
      <c r="O55" s="818">
        <f t="shared" si="41"/>
        <v>-545.904851051273</v>
      </c>
      <c r="P55" s="818">
        <f t="shared" si="41"/>
        <v>-4.1480732799999993</v>
      </c>
      <c r="Q55" s="818">
        <f t="shared" si="41"/>
        <v>-1476.6549403412737</v>
      </c>
      <c r="R55" s="567"/>
      <c r="V55" s="17"/>
      <c r="W55" s="17"/>
      <c r="X55" s="17"/>
      <c r="Y55" s="17"/>
      <c r="Z55" s="17"/>
      <c r="AA55" s="17"/>
      <c r="AB55" s="562"/>
      <c r="AC55" s="562"/>
    </row>
    <row r="56" spans="3:29" s="20" customFormat="1" ht="15" customHeight="1">
      <c r="C56" s="904" t="str">
        <f>IF(Indice_index!$Z$1=1,"Saldo primário","Primary balance")</f>
        <v>Primary balance</v>
      </c>
      <c r="D56" s="1532"/>
      <c r="E56" s="1503">
        <f t="shared" ref="E56" si="42">E27-E53</f>
        <v>-1692.1867397621536</v>
      </c>
      <c r="F56" s="1503"/>
      <c r="G56" s="1503">
        <f t="shared" ref="G56:K56" si="43">G27-G53</f>
        <v>-3123.3874257600073</v>
      </c>
      <c r="H56" s="1503">
        <f t="shared" si="43"/>
        <v>803.86251052002626</v>
      </c>
      <c r="I56" s="1503">
        <f t="shared" si="43"/>
        <v>-103.62022872528814</v>
      </c>
      <c r="J56" s="1503">
        <f t="shared" si="43"/>
        <v>301.75860062000174</v>
      </c>
      <c r="K56" s="1503">
        <f t="shared" si="43"/>
        <v>-2235.9473915052768</v>
      </c>
      <c r="L56" s="1503"/>
      <c r="M56" s="1503">
        <f>M27-M53</f>
        <v>-346.11538405000465</v>
      </c>
      <c r="N56" s="1503">
        <f t="shared" ref="N56:Q56" si="44">N27-N53</f>
        <v>856.10477674999856</v>
      </c>
      <c r="O56" s="1503">
        <f t="shared" si="44"/>
        <v>-30.024910022259974</v>
      </c>
      <c r="P56" s="1503">
        <f t="shared" si="44"/>
        <v>2046.0411455999983</v>
      </c>
      <c r="Q56" s="1503">
        <f t="shared" si="44"/>
        <v>2496.6068372877344</v>
      </c>
      <c r="R56" s="567"/>
      <c r="S56" s="574"/>
      <c r="T56" s="17"/>
      <c r="U56" s="17"/>
      <c r="V56" s="17"/>
      <c r="W56" s="17"/>
      <c r="X56" s="17"/>
      <c r="Y56" s="17"/>
      <c r="Z56" s="17"/>
      <c r="AA56" s="17"/>
      <c r="AB56" s="562"/>
      <c r="AC56" s="562"/>
    </row>
    <row r="57" spans="3:29" ht="4.5" customHeight="1">
      <c r="C57" s="1634"/>
      <c r="D57" s="1634"/>
      <c r="E57" s="1634"/>
      <c r="F57" s="1634"/>
      <c r="G57" s="1634"/>
      <c r="H57" s="1634"/>
      <c r="I57" s="1634"/>
      <c r="J57" s="1634"/>
      <c r="K57" s="1634"/>
      <c r="L57" s="1634"/>
      <c r="M57" s="1634"/>
      <c r="N57" s="1634"/>
      <c r="O57" s="1634"/>
      <c r="P57" s="1634"/>
      <c r="Q57" s="1634"/>
      <c r="V57" s="17"/>
      <c r="W57" s="17"/>
      <c r="X57" s="17"/>
      <c r="Y57" s="17"/>
      <c r="Z57" s="17"/>
      <c r="AA57" s="17"/>
      <c r="AB57" s="562"/>
      <c r="AC57" s="562"/>
    </row>
    <row r="58" spans="3:29" ht="15" customHeight="1">
      <c r="C58" s="1533" t="str">
        <f>IF(Indice_index!$Z$1=1,"Notas:","Notes:")</f>
        <v>Notes:</v>
      </c>
      <c r="D58" s="593"/>
      <c r="E58" s="594"/>
      <c r="F58" s="593"/>
      <c r="G58" s="593"/>
      <c r="H58" s="593"/>
      <c r="I58" s="593"/>
      <c r="J58" s="593"/>
      <c r="K58" s="593"/>
      <c r="L58" s="595"/>
      <c r="M58" s="593"/>
      <c r="N58" s="593"/>
      <c r="O58" s="593"/>
      <c r="P58" s="593"/>
      <c r="Q58" s="1534"/>
      <c r="V58" s="17"/>
      <c r="W58" s="17"/>
      <c r="X58" s="17"/>
      <c r="Y58" s="17"/>
      <c r="Z58" s="17"/>
      <c r="AA58" s="17"/>
      <c r="AB58" s="562"/>
      <c r="AC58" s="562"/>
    </row>
    <row r="59" spans="3:29" ht="26.25" customHeight="1">
      <c r="C59" s="1634"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The Regional and Local Government data identified in the table above differs from the sum of each sector (14 - Adm R and 15 - Adm Loc) due to the inclusion in the consolidated account of a budget execution estimate for parishes.</v>
      </c>
      <c r="D59" s="1634"/>
      <c r="E59" s="1634"/>
      <c r="F59" s="1634"/>
      <c r="G59" s="1634"/>
      <c r="H59" s="1634"/>
      <c r="I59" s="1634"/>
      <c r="J59" s="1634"/>
      <c r="K59" s="1634"/>
      <c r="L59" s="1634"/>
      <c r="M59" s="1634"/>
      <c r="N59" s="1634"/>
      <c r="O59" s="1634"/>
      <c r="P59" s="1634"/>
      <c r="Q59" s="1634"/>
      <c r="S59" s="575"/>
      <c r="V59" s="17"/>
      <c r="W59" s="17"/>
      <c r="X59" s="17"/>
      <c r="Y59" s="17"/>
      <c r="Z59" s="17"/>
      <c r="AA59" s="17"/>
      <c r="AB59" s="562"/>
      <c r="AC59" s="562"/>
    </row>
    <row r="60" spans="3:29" ht="14.1" hidden="1" customHeight="1">
      <c r="C60" s="1633"/>
      <c r="D60" s="1633"/>
      <c r="E60" s="1633"/>
      <c r="F60" s="1633"/>
      <c r="G60" s="1633"/>
      <c r="H60" s="1633"/>
      <c r="I60" s="1633"/>
      <c r="J60" s="1633"/>
      <c r="K60" s="1633"/>
      <c r="L60" s="1633"/>
      <c r="M60" s="1633"/>
      <c r="N60" s="1633"/>
      <c r="O60" s="1633"/>
      <c r="P60" s="1633"/>
      <c r="Q60" s="1633"/>
      <c r="S60" s="575"/>
      <c r="V60" s="17"/>
      <c r="W60" s="17"/>
      <c r="X60" s="17"/>
      <c r="Y60" s="17"/>
      <c r="Z60" s="17"/>
      <c r="AA60" s="17"/>
      <c r="AB60" s="562"/>
      <c r="AC60" s="562"/>
    </row>
    <row r="61" spans="3:29" ht="14.1" hidden="1" customHeight="1">
      <c r="C61" s="1633"/>
      <c r="D61" s="1633"/>
      <c r="E61" s="1633"/>
      <c r="F61" s="1633"/>
      <c r="G61" s="1633"/>
      <c r="H61" s="1633"/>
      <c r="I61" s="1633"/>
      <c r="J61" s="1633"/>
      <c r="K61" s="1633"/>
      <c r="L61" s="1633"/>
      <c r="M61" s="1633"/>
      <c r="N61" s="1633"/>
      <c r="O61" s="1633"/>
      <c r="P61" s="1633"/>
      <c r="Q61" s="1633"/>
      <c r="V61" s="17"/>
      <c r="W61" s="17"/>
      <c r="X61" s="17"/>
      <c r="Y61" s="17"/>
      <c r="Z61" s="17"/>
      <c r="AA61" s="17"/>
      <c r="AB61" s="562"/>
      <c r="AC61" s="562"/>
    </row>
    <row r="62" spans="3:29" s="20" customFormat="1" ht="15" customHeight="1">
      <c r="C62" s="1535" t="str">
        <f>IF(Indice_index!$Z$1=1,"Fonte: Direção-Geral do Orçamento","Source: Budget General Directorate")</f>
        <v>Source: Budget General Directorate</v>
      </c>
      <c r="D62" s="1353"/>
      <c r="E62" s="1353"/>
      <c r="F62" s="1353"/>
      <c r="G62" s="1353"/>
      <c r="H62" s="1353"/>
      <c r="I62" s="1353"/>
      <c r="J62" s="1353"/>
      <c r="K62" s="1353"/>
      <c r="L62" s="1353"/>
      <c r="M62" s="1353"/>
      <c r="N62" s="1353"/>
      <c r="O62" s="1353"/>
      <c r="P62" s="1353"/>
      <c r="Q62" s="1353"/>
      <c r="U62" s="576"/>
      <c r="V62" s="577"/>
      <c r="W62" s="577"/>
      <c r="X62" s="577"/>
      <c r="Y62" s="577"/>
      <c r="Z62" s="577"/>
      <c r="AA62" s="577"/>
      <c r="AB62" s="577"/>
      <c r="AC62" s="577"/>
    </row>
    <row r="63" spans="3:29" s="20" customFormat="1" ht="15" customHeight="1">
      <c r="C63" s="1535"/>
      <c r="D63" s="1353"/>
      <c r="E63" s="1353"/>
      <c r="F63" s="1353"/>
      <c r="G63" s="1353"/>
      <c r="H63" s="1353"/>
      <c r="I63" s="1353"/>
      <c r="J63" s="1353"/>
      <c r="K63" s="1353"/>
      <c r="L63" s="1353"/>
      <c r="M63" s="1353"/>
      <c r="N63" s="1353"/>
      <c r="O63" s="1353"/>
      <c r="P63" s="1353"/>
      <c r="Q63" s="1353"/>
      <c r="U63" s="576"/>
      <c r="V63" s="577"/>
      <c r="W63" s="577"/>
      <c r="X63" s="577"/>
      <c r="Y63" s="577"/>
      <c r="Z63" s="577"/>
      <c r="AA63" s="577"/>
      <c r="AB63" s="577"/>
      <c r="AC63" s="577"/>
    </row>
    <row r="64" spans="3:29" s="20" customFormat="1" ht="15" customHeight="1">
      <c r="C64" s="1535"/>
      <c r="D64" s="1353"/>
      <c r="E64" s="1353"/>
      <c r="F64" s="1353"/>
      <c r="G64" s="1353"/>
      <c r="H64" s="1353"/>
      <c r="I64" s="1353"/>
      <c r="J64" s="1353"/>
      <c r="K64" s="1353"/>
      <c r="L64" s="1353"/>
      <c r="M64" s="1353"/>
      <c r="N64" s="1353"/>
      <c r="O64" s="1353"/>
      <c r="P64" s="1353"/>
      <c r="Q64" s="1353"/>
      <c r="U64" s="576"/>
      <c r="V64" s="577"/>
      <c r="W64" s="577"/>
      <c r="X64" s="577"/>
      <c r="Y64" s="577"/>
      <c r="Z64" s="577"/>
      <c r="AA64" s="577"/>
      <c r="AB64" s="577"/>
      <c r="AC64" s="577"/>
    </row>
    <row r="65" spans="3:30" s="578" customFormat="1" ht="15" customHeight="1">
      <c r="C65" s="871" t="str">
        <f>+'5 - Conta AC + SS'!C5</f>
        <v>Period: January to May</v>
      </c>
      <c r="D65" s="1536"/>
      <c r="E65" s="1536"/>
      <c r="F65" s="1536"/>
      <c r="G65" s="1536"/>
      <c r="H65" s="1536"/>
      <c r="I65" s="1536"/>
      <c r="J65" s="1536"/>
      <c r="K65" s="1536"/>
      <c r="L65" s="1536"/>
      <c r="M65" s="1536"/>
      <c r="N65" s="1536"/>
      <c r="O65" s="1536"/>
      <c r="P65" s="1536"/>
      <c r="Q65" s="1536" t="str">
        <f>IF(Indice_index!$Z$1=1,"€ Milhões","€ Millions")</f>
        <v>€ Millions</v>
      </c>
      <c r="U65" s="579"/>
      <c r="V65" s="580"/>
      <c r="W65" s="580"/>
      <c r="X65" s="580"/>
      <c r="Y65" s="580"/>
      <c r="Z65" s="580"/>
      <c r="AA65" s="580"/>
      <c r="AB65" s="580"/>
      <c r="AC65" s="580"/>
    </row>
    <row r="66" spans="3:30" ht="20.45" customHeight="1">
      <c r="C66" s="1537"/>
      <c r="D66" s="1537"/>
      <c r="E66" s="1537"/>
      <c r="F66" s="1537"/>
      <c r="G66" s="1635" t="str">
        <f>IF(Indice_index!$Z$1=1,"Variação Homóloga Absoluta","YOY Variation")</f>
        <v>YOY Variation</v>
      </c>
      <c r="H66" s="1635"/>
      <c r="I66" s="1635"/>
      <c r="J66" s="1635"/>
      <c r="K66" s="1635"/>
      <c r="L66" s="1538"/>
      <c r="M66" s="1635" t="str">
        <f>IF(Indice_index!$Z$1=1,"Variação Homóloga Relativa (%)","Relative YOY Variation")</f>
        <v>Relative YOY Variation</v>
      </c>
      <c r="N66" s="1635"/>
      <c r="O66" s="1635"/>
      <c r="P66" s="1635"/>
      <c r="Q66" s="1635"/>
      <c r="S66" s="561"/>
      <c r="T66" s="562"/>
      <c r="U66" s="562"/>
      <c r="V66" s="562"/>
      <c r="W66" s="562"/>
      <c r="X66" s="562"/>
      <c r="Y66" s="562"/>
      <c r="Z66" s="562"/>
      <c r="AA66" s="562"/>
      <c r="AB66" s="17"/>
      <c r="AC66" s="17"/>
    </row>
    <row r="67" spans="3:30" ht="33" customHeight="1">
      <c r="C67" s="1539"/>
      <c r="D67" s="1539"/>
      <c r="E67" s="1539"/>
      <c r="F67" s="1539"/>
      <c r="G67" s="1540" t="str">
        <f>IF(Indice_index!$Z$1=1,"Estado","State")</f>
        <v>State</v>
      </c>
      <c r="H67" s="1540" t="str">
        <f>IF(Indice_index!$Z$1=1,"Serviços e Fundos Autónomos","Autonomous Funds and Services")</f>
        <v>Autonomous Funds and Services</v>
      </c>
      <c r="I67" s="1540" t="str">
        <f>IF(Indice_index!$Z$1=1,"Adm. Local e Regional","Local and Regional Government")</f>
        <v>Local and Regional Government</v>
      </c>
      <c r="J67" s="1540" t="str">
        <f>IF(Indice_index!$Z$1=1,"Segurança Social","Social Security")</f>
        <v>Social Security</v>
      </c>
      <c r="K67" s="1540" t="str">
        <f>IF(Indice_index!$Z$1=1,"Adm. Públicas","General Government")</f>
        <v>General Government</v>
      </c>
      <c r="L67" s="1541"/>
      <c r="M67" s="1540" t="str">
        <f>IF(Indice_index!$Z$1=1,"Estado","State")</f>
        <v>State</v>
      </c>
      <c r="N67" s="1540" t="str">
        <f>IF(Indice_index!$Z$1=1,"Serviços e Fundos Autónomos","Autonomous Funds and Services")</f>
        <v>Autonomous Funds and Services</v>
      </c>
      <c r="O67" s="1540" t="str">
        <f>IF(Indice_index!$Z$1=1,"Adm. Local e Regional","Local and Regional Government")</f>
        <v>Local and Regional Government</v>
      </c>
      <c r="P67" s="1540" t="str">
        <f>IF(Indice_index!$Z$1=1,"Segurança Social","Social Security")</f>
        <v>Social Security</v>
      </c>
      <c r="Q67" s="1540" t="str">
        <f>IF(Indice_index!$Z$1=1,"Adm. Públicas","General Government")</f>
        <v>General Government</v>
      </c>
      <c r="S67" s="561"/>
      <c r="T67" s="562"/>
      <c r="U67" s="562"/>
      <c r="V67" s="562"/>
      <c r="W67" s="562"/>
      <c r="X67" s="562"/>
      <c r="Y67" s="562"/>
      <c r="Z67" s="562"/>
      <c r="AA67" s="562"/>
      <c r="AB67" s="17"/>
      <c r="AC67" s="17"/>
    </row>
    <row r="68" spans="3:30" s="559" customFormat="1" ht="15" customHeight="1">
      <c r="C68" s="320" t="str">
        <f>IF(Indice_index!$Z$1=1,"Receita corrente","Current revenue")</f>
        <v>Current revenue</v>
      </c>
      <c r="D68" s="320"/>
      <c r="E68" s="320"/>
      <c r="F68" s="320"/>
      <c r="G68" s="1542">
        <f t="shared" ref="G68:G84" si="45">M9-G9</f>
        <v>3124.9632636899987</v>
      </c>
      <c r="H68" s="1542">
        <f t="shared" ref="H68:H84" si="46">N9-H9</f>
        <v>417.12142800000765</v>
      </c>
      <c r="I68" s="1542">
        <f t="shared" ref="I68:I84" si="47">O9-I9</f>
        <v>369.38061074400775</v>
      </c>
      <c r="J68" s="1542">
        <f t="shared" ref="J68:J84" si="48">P9-J9</f>
        <v>872.99568582000029</v>
      </c>
      <c r="K68" s="1542">
        <f t="shared" ref="K68:K84" si="49">Q9-K9</f>
        <v>4852.4038437340168</v>
      </c>
      <c r="L68" s="1542"/>
      <c r="M68" s="1543">
        <f t="shared" ref="M68:M76" si="50">IF(IFERROR((M9-G9)/G9*100,"")&gt;500,"-",IFERROR((M9-G9)/G9*100,""))</f>
        <v>19.109365533093136</v>
      </c>
      <c r="N68" s="1543">
        <f t="shared" ref="N68:N76" si="51">IF(IFERROR((N9-H9)/H9*100,"")&gt;500,"-",IFERROR((N9-H9)/H9*100,""))</f>
        <v>3.4018519412274366</v>
      </c>
      <c r="O68" s="1543">
        <f t="shared" ref="O68:O76" si="52">IF(IFERROR((O9-I9)/I9*100,"")&gt;500,"-",IFERROR((O9-I9)/I9*100,""))</f>
        <v>9.6984878704369706</v>
      </c>
      <c r="P68" s="1543">
        <f t="shared" ref="P68:P76" si="53">IF(IFERROR((P9-J9)/J9*100,"")&gt;500,"-",IFERROR((P9-J9)/J9*100,""))</f>
        <v>6.8742032423837447</v>
      </c>
      <c r="Q68" s="1543">
        <f t="shared" ref="Q68:Q76" si="54">IF(IFERROR((Q9-K9)/K9*100,"")&gt;500,"-",IFERROR((Q9-K9)/K9*100,""))</f>
        <v>15.956150720866738</v>
      </c>
      <c r="R68" s="581"/>
      <c r="S68" s="565"/>
      <c r="T68" s="566"/>
      <c r="U68" s="566"/>
      <c r="V68" s="566"/>
      <c r="W68" s="566"/>
      <c r="X68" s="566"/>
      <c r="Y68" s="566"/>
      <c r="Z68" s="566"/>
      <c r="AA68" s="566"/>
      <c r="AB68" s="581"/>
      <c r="AC68" s="581"/>
      <c r="AD68" s="581"/>
    </row>
    <row r="69" spans="3:30" ht="15" customHeight="1">
      <c r="C69" s="688" t="str">
        <f>IF(Indice_index!$Z$1=1,"Receita Fiscal","Tax")</f>
        <v>Tax</v>
      </c>
      <c r="D69" s="1353"/>
      <c r="E69" s="688"/>
      <c r="F69" s="1353"/>
      <c r="G69" s="1523">
        <f t="shared" si="45"/>
        <v>3042.4381753300004</v>
      </c>
      <c r="H69" s="1523">
        <f t="shared" si="46"/>
        <v>30.193672030000016</v>
      </c>
      <c r="I69" s="1523">
        <f t="shared" si="47"/>
        <v>300.03650330375604</v>
      </c>
      <c r="J69" s="1523">
        <f t="shared" si="48"/>
        <v>9.4219360100000102</v>
      </c>
      <c r="K69" s="1523">
        <f t="shared" si="49"/>
        <v>3382.0902866737597</v>
      </c>
      <c r="L69" s="1523"/>
      <c r="M69" s="1523">
        <f t="shared" si="50"/>
        <v>20.977867619560701</v>
      </c>
      <c r="N69" s="1523">
        <f t="shared" si="51"/>
        <v>12.591315167137177</v>
      </c>
      <c r="O69" s="1523">
        <f t="shared" si="52"/>
        <v>24.431404479645671</v>
      </c>
      <c r="P69" s="1523">
        <f t="shared" si="53"/>
        <v>10.401497751397301</v>
      </c>
      <c r="Q69" s="1523">
        <f t="shared" si="54"/>
        <v>21.057069266426737</v>
      </c>
      <c r="R69" s="582"/>
      <c r="S69" s="569"/>
      <c r="T69" s="562"/>
      <c r="U69" s="562"/>
      <c r="V69" s="562"/>
      <c r="W69" s="562"/>
      <c r="X69" s="562"/>
      <c r="Y69" s="562"/>
      <c r="Z69" s="562"/>
      <c r="AA69" s="562"/>
      <c r="AB69" s="582"/>
      <c r="AC69" s="582"/>
      <c r="AD69" s="582"/>
    </row>
    <row r="70" spans="3:30" ht="15" customHeight="1">
      <c r="C70" s="683" t="str">
        <f>IF(Indice_index!$Z$1=1,"Impostos diretos","Direct taxes")</f>
        <v>Direct taxes</v>
      </c>
      <c r="D70" s="1353"/>
      <c r="E70" s="683"/>
      <c r="F70" s="1353"/>
      <c r="G70" s="1523">
        <f t="shared" si="45"/>
        <v>952.16269099000056</v>
      </c>
      <c r="H70" s="1523">
        <f t="shared" si="46"/>
        <v>0</v>
      </c>
      <c r="I70" s="1523">
        <f t="shared" si="47"/>
        <v>274.25965249861486</v>
      </c>
      <c r="J70" s="1523">
        <f t="shared" si="48"/>
        <v>0</v>
      </c>
      <c r="K70" s="1523">
        <f t="shared" si="49"/>
        <v>1226.4223434886153</v>
      </c>
      <c r="L70" s="1523"/>
      <c r="M70" s="1523">
        <f t="shared" si="50"/>
        <v>19.959130263699283</v>
      </c>
      <c r="N70" s="1523" t="str">
        <f t="shared" si="51"/>
        <v>-</v>
      </c>
      <c r="O70" s="1523">
        <f t="shared" si="52"/>
        <v>33.683098086367238</v>
      </c>
      <c r="P70" s="1523" t="str">
        <f t="shared" si="53"/>
        <v>-</v>
      </c>
      <c r="Q70" s="1523">
        <f t="shared" si="54"/>
        <v>21.960015454567746</v>
      </c>
      <c r="R70" s="582"/>
      <c r="S70" s="569"/>
      <c r="T70" s="562"/>
      <c r="U70" s="562"/>
      <c r="V70" s="562"/>
      <c r="W70" s="562"/>
      <c r="X70" s="562"/>
      <c r="Y70" s="562"/>
      <c r="Z70" s="562"/>
      <c r="AA70" s="562"/>
      <c r="AB70" s="582"/>
      <c r="AC70" s="582"/>
      <c r="AD70" s="582"/>
    </row>
    <row r="71" spans="3:30" ht="15" customHeight="1">
      <c r="C71" s="683" t="str">
        <f>IF(Indice_index!$Z$1=1,"Impostos indiretos","Indirect taxes")</f>
        <v>Indirect taxes</v>
      </c>
      <c r="D71" s="1353"/>
      <c r="E71" s="683"/>
      <c r="F71" s="1353"/>
      <c r="G71" s="1523">
        <f t="shared" si="45"/>
        <v>2090.2754843400016</v>
      </c>
      <c r="H71" s="1523">
        <f t="shared" si="46"/>
        <v>30.193672030000016</v>
      </c>
      <c r="I71" s="1523">
        <f t="shared" si="47"/>
        <v>25.776850805141351</v>
      </c>
      <c r="J71" s="1523">
        <f t="shared" si="48"/>
        <v>9.4219360100000102</v>
      </c>
      <c r="K71" s="1523">
        <f t="shared" si="49"/>
        <v>2155.6679431851426</v>
      </c>
      <c r="L71" s="1523"/>
      <c r="M71" s="1523">
        <f t="shared" si="50"/>
        <v>21.477219050631046</v>
      </c>
      <c r="N71" s="1523">
        <f t="shared" si="51"/>
        <v>12.591315167137177</v>
      </c>
      <c r="O71" s="1523">
        <f t="shared" si="52"/>
        <v>6.2286703934590228</v>
      </c>
      <c r="P71" s="1523">
        <f t="shared" si="53"/>
        <v>10.401497751397301</v>
      </c>
      <c r="Q71" s="1523">
        <f t="shared" si="54"/>
        <v>20.575739336589326</v>
      </c>
      <c r="R71" s="582"/>
      <c r="S71" s="569"/>
      <c r="T71" s="562"/>
      <c r="U71" s="562"/>
      <c r="V71" s="562"/>
      <c r="W71" s="562"/>
      <c r="X71" s="562"/>
      <c r="Y71" s="562"/>
      <c r="Z71" s="562"/>
      <c r="AA71" s="562"/>
      <c r="AB71" s="582"/>
      <c r="AC71" s="582"/>
      <c r="AD71" s="582"/>
    </row>
    <row r="72" spans="3:30" ht="15" customHeight="1">
      <c r="C72" s="682" t="str">
        <f>IF(Indice_index!$Z$1=1,"Contribuições de Segurança Social","Social security contributions")</f>
        <v>Social security contributions</v>
      </c>
      <c r="D72" s="1353"/>
      <c r="E72" s="682"/>
      <c r="F72" s="1353"/>
      <c r="G72" s="1523">
        <f t="shared" si="45"/>
        <v>2.7727041999999997</v>
      </c>
      <c r="H72" s="1523">
        <f t="shared" si="46"/>
        <v>-75.390065410000034</v>
      </c>
      <c r="I72" s="1523">
        <f t="shared" si="47"/>
        <v>0</v>
      </c>
      <c r="J72" s="1523">
        <f t="shared" si="48"/>
        <v>990.53019373999814</v>
      </c>
      <c r="K72" s="1523">
        <f t="shared" si="49"/>
        <v>917.9128325299971</v>
      </c>
      <c r="L72" s="1523"/>
      <c r="M72" s="1523">
        <f t="shared" si="50"/>
        <v>12.006300201548136</v>
      </c>
      <c r="N72" s="1523">
        <f t="shared" si="51"/>
        <v>-4.9302978888264803</v>
      </c>
      <c r="O72" s="1523" t="str">
        <f t="shared" si="52"/>
        <v>-</v>
      </c>
      <c r="P72" s="1523">
        <f t="shared" si="53"/>
        <v>13.222345498134375</v>
      </c>
      <c r="Q72" s="1523">
        <f t="shared" si="54"/>
        <v>10.149920986842298</v>
      </c>
      <c r="R72" s="582"/>
      <c r="S72" s="569"/>
      <c r="T72" s="562"/>
      <c r="U72" s="562"/>
      <c r="V72" s="562"/>
      <c r="W72" s="562"/>
      <c r="X72" s="562"/>
      <c r="Y72" s="562"/>
      <c r="Z72" s="562"/>
      <c r="AA72" s="562"/>
      <c r="AB72" s="582"/>
      <c r="AC72" s="582"/>
      <c r="AD72" s="582"/>
    </row>
    <row r="73" spans="3:30" ht="15" customHeight="1">
      <c r="C73" s="682" t="str">
        <f>IF(Indice_index!$Z$1=1,"Transferências Correntes","Current transfers")</f>
        <v>Current transfers</v>
      </c>
      <c r="D73" s="1353"/>
      <c r="E73" s="682"/>
      <c r="F73" s="1353"/>
      <c r="G73" s="1523">
        <f t="shared" si="45"/>
        <v>-103.2710033599999</v>
      </c>
      <c r="H73" s="1523">
        <f t="shared" si="46"/>
        <v>63.714247309999337</v>
      </c>
      <c r="I73" s="1523">
        <f t="shared" si="47"/>
        <v>38.437194675160072</v>
      </c>
      <c r="J73" s="1523">
        <f t="shared" si="48"/>
        <v>-27.15217549999943</v>
      </c>
      <c r="K73" s="1523">
        <f t="shared" si="49"/>
        <v>-147.35105499483825</v>
      </c>
      <c r="L73" s="1523"/>
      <c r="M73" s="1523">
        <f t="shared" si="50"/>
        <v>-19.712660866700745</v>
      </c>
      <c r="N73" s="1523">
        <f t="shared" si="51"/>
        <v>0.73758949990610256</v>
      </c>
      <c r="O73" s="1523">
        <f t="shared" si="52"/>
        <v>2.0743865528847878</v>
      </c>
      <c r="P73" s="1523">
        <f t="shared" si="53"/>
        <v>-0.59020749264369599</v>
      </c>
      <c r="Q73" s="1523">
        <f t="shared" si="54"/>
        <v>-11.762555812334975</v>
      </c>
      <c r="R73" s="582"/>
      <c r="S73" s="569"/>
      <c r="T73" s="562"/>
      <c r="U73" s="562"/>
      <c r="V73" s="562"/>
      <c r="W73" s="562"/>
      <c r="X73" s="562"/>
      <c r="Y73" s="562"/>
      <c r="Z73" s="562"/>
      <c r="AA73" s="562"/>
      <c r="AB73" s="582"/>
      <c r="AC73" s="582"/>
      <c r="AD73" s="582"/>
    </row>
    <row r="74" spans="3:30" ht="15" customHeight="1">
      <c r="C74" s="1522" t="str">
        <f>IF(Indice_index!$Z$1=1,"Administrações Públicas","General Government subsectors")</f>
        <v>General Government subsectors</v>
      </c>
      <c r="D74" s="1353"/>
      <c r="E74" s="682"/>
      <c r="F74" s="1353"/>
      <c r="G74" s="1523">
        <f t="shared" si="45"/>
        <v>2.8702159000000051</v>
      </c>
      <c r="H74" s="1523">
        <f t="shared" si="46"/>
        <v>-6.3982999100007873</v>
      </c>
      <c r="I74" s="1523">
        <f t="shared" si="47"/>
        <v>-8.4767236100014998</v>
      </c>
      <c r="J74" s="1523">
        <f t="shared" si="48"/>
        <v>131.08412574000022</v>
      </c>
      <c r="K74" s="1523">
        <f t="shared" si="49"/>
        <v>0</v>
      </c>
      <c r="L74" s="1523"/>
      <c r="M74" s="1523">
        <f t="shared" si="50"/>
        <v>1.0052334505514833</v>
      </c>
      <c r="N74" s="1523">
        <f t="shared" si="51"/>
        <v>-7.6496292388002485E-2</v>
      </c>
      <c r="O74" s="1523">
        <f t="shared" si="52"/>
        <v>-0.47921520856923533</v>
      </c>
      <c r="P74" s="1523">
        <f t="shared" si="53"/>
        <v>3.3235250822930613</v>
      </c>
      <c r="Q74" s="1523" t="str">
        <f t="shared" si="54"/>
        <v>-</v>
      </c>
      <c r="R74" s="582"/>
      <c r="S74" s="569"/>
      <c r="T74" s="562"/>
      <c r="U74" s="562"/>
      <c r="V74" s="562"/>
      <c r="W74" s="562"/>
      <c r="X74" s="562"/>
      <c r="Y74" s="562"/>
      <c r="Z74" s="562"/>
      <c r="AA74" s="562"/>
      <c r="AB74" s="582"/>
      <c r="AC74" s="582"/>
      <c r="AD74" s="582"/>
    </row>
    <row r="75" spans="3:30" ht="15" customHeight="1">
      <c r="C75" s="1522" t="str">
        <f>IF(Indice_index!$Z$1=1,"Outras","Others")</f>
        <v>Others</v>
      </c>
      <c r="D75" s="1353"/>
      <c r="E75" s="682"/>
      <c r="F75" s="1353"/>
      <c r="G75" s="1523">
        <f t="shared" si="45"/>
        <v>-106.1412192599999</v>
      </c>
      <c r="H75" s="1523">
        <f t="shared" si="46"/>
        <v>70.112547220000067</v>
      </c>
      <c r="I75" s="1523">
        <f t="shared" si="47"/>
        <v>46.913918285161571</v>
      </c>
      <c r="J75" s="1523">
        <f t="shared" si="48"/>
        <v>-158.23630123999993</v>
      </c>
      <c r="K75" s="1523">
        <f t="shared" si="49"/>
        <v>-147.35105499483825</v>
      </c>
      <c r="L75" s="1523"/>
      <c r="M75" s="1523">
        <f t="shared" si="50"/>
        <v>-44.530859085193832</v>
      </c>
      <c r="N75" s="1523">
        <f t="shared" si="51"/>
        <v>25.590802121096463</v>
      </c>
      <c r="O75" s="1523">
        <f t="shared" si="52"/>
        <v>55.805685706097954</v>
      </c>
      <c r="P75" s="1523">
        <f t="shared" si="53"/>
        <v>-24.109756160422709</v>
      </c>
      <c r="Q75" s="1523">
        <f t="shared" si="54"/>
        <v>-11.762555812334975</v>
      </c>
      <c r="R75" s="582"/>
      <c r="S75" s="569"/>
      <c r="T75" s="562"/>
      <c r="U75" s="562"/>
      <c r="V75" s="562"/>
      <c r="W75" s="562"/>
      <c r="X75" s="562"/>
      <c r="Y75" s="562"/>
      <c r="Z75" s="562"/>
      <c r="AA75" s="562"/>
      <c r="AB75" s="582"/>
      <c r="AC75" s="582"/>
      <c r="AD75" s="582"/>
    </row>
    <row r="76" spans="3:30" ht="15" customHeight="1">
      <c r="C76" s="682" t="str">
        <f>IF(Indice_index!$Z$1=1,"Outras receitas correntes","Other current revenue")</f>
        <v>Other current revenue</v>
      </c>
      <c r="D76" s="1353"/>
      <c r="E76" s="682"/>
      <c r="F76" s="1353"/>
      <c r="G76" s="1523">
        <f t="shared" si="45"/>
        <v>183.02151778000052</v>
      </c>
      <c r="H76" s="1523">
        <f t="shared" si="46"/>
        <v>394.66202297000973</v>
      </c>
      <c r="I76" s="1523">
        <f t="shared" si="47"/>
        <v>27.494557345091835</v>
      </c>
      <c r="J76" s="1523">
        <f t="shared" si="48"/>
        <v>-99.804268429999979</v>
      </c>
      <c r="K76" s="1523">
        <f t="shared" si="49"/>
        <v>629.38072106510208</v>
      </c>
      <c r="L76" s="1523"/>
      <c r="M76" s="1523">
        <f t="shared" si="50"/>
        <v>14.046336342753721</v>
      </c>
      <c r="N76" s="1523">
        <f t="shared" si="51"/>
        <v>21.297851548258294</v>
      </c>
      <c r="O76" s="1523">
        <f t="shared" si="52"/>
        <v>3.778970638304266</v>
      </c>
      <c r="P76" s="1523">
        <f t="shared" si="53"/>
        <v>-19.296005036260624</v>
      </c>
      <c r="Q76" s="1523">
        <f t="shared" si="54"/>
        <v>15.616549925466138</v>
      </c>
      <c r="R76" s="582"/>
      <c r="S76" s="569"/>
      <c r="T76" s="562"/>
      <c r="U76" s="562"/>
      <c r="V76" s="562"/>
      <c r="W76" s="562"/>
      <c r="X76" s="562"/>
      <c r="Y76" s="562"/>
      <c r="Z76" s="562"/>
      <c r="AA76" s="562"/>
      <c r="AB76" s="582"/>
      <c r="AC76" s="582"/>
      <c r="AD76" s="582"/>
    </row>
    <row r="77" spans="3:30" ht="15" customHeight="1">
      <c r="C77" s="688" t="str">
        <f>IF(Indice_index!$Z$1=1,"Diferenças de consolidação","Consolidation differences")</f>
        <v>Consolidation differences</v>
      </c>
      <c r="D77" s="1353"/>
      <c r="E77" s="1544"/>
      <c r="F77" s="1353"/>
      <c r="G77" s="1523">
        <f t="shared" si="45"/>
        <v>1.8697400000000002E-3</v>
      </c>
      <c r="H77" s="1523">
        <f t="shared" si="46"/>
        <v>3.9415510999982151</v>
      </c>
      <c r="I77" s="1523">
        <f t="shared" si="47"/>
        <v>3.412355419999983</v>
      </c>
      <c r="J77" s="1523">
        <f t="shared" si="48"/>
        <v>0</v>
      </c>
      <c r="K77" s="1523">
        <f t="shared" si="49"/>
        <v>70.371058460000029</v>
      </c>
      <c r="L77" s="1523"/>
      <c r="M77" s="1545" t="s">
        <v>3</v>
      </c>
      <c r="N77" s="1545" t="s">
        <v>3</v>
      </c>
      <c r="O77" s="1545" t="s">
        <v>3</v>
      </c>
      <c r="P77" s="1545" t="s">
        <v>3</v>
      </c>
      <c r="Q77" s="1545" t="s">
        <v>3</v>
      </c>
      <c r="R77" s="582"/>
      <c r="S77" s="569"/>
      <c r="T77" s="562"/>
      <c r="U77" s="562"/>
      <c r="V77" s="562"/>
      <c r="W77" s="562"/>
      <c r="X77" s="562"/>
      <c r="Y77" s="562"/>
      <c r="Z77" s="562"/>
      <c r="AA77" s="562"/>
      <c r="AB77" s="582"/>
      <c r="AC77" s="582"/>
      <c r="AD77" s="582"/>
    </row>
    <row r="78" spans="3:30" s="559" customFormat="1" ht="15" customHeight="1">
      <c r="C78" s="320" t="str">
        <f>IF(Indice_index!$Z$1=1,"Receita de capital","Capital revenue")</f>
        <v>Capital revenue</v>
      </c>
      <c r="D78" s="320"/>
      <c r="E78" s="320"/>
      <c r="F78" s="320"/>
      <c r="G78" s="1542">
        <f t="shared" si="45"/>
        <v>219.23384955999998</v>
      </c>
      <c r="H78" s="1542">
        <f t="shared" si="46"/>
        <v>73.200885819999939</v>
      </c>
      <c r="I78" s="1542">
        <f t="shared" si="47"/>
        <v>-138.87572391648916</v>
      </c>
      <c r="J78" s="1542">
        <f t="shared" si="48"/>
        <v>0.16692545000000003</v>
      </c>
      <c r="K78" s="1542">
        <f t="shared" si="49"/>
        <v>129.75283872351065</v>
      </c>
      <c r="L78" s="1542"/>
      <c r="M78" s="1542">
        <f t="shared" ref="M78:Q83" si="55">IF(IFERROR((M19-G19)/G19*100,"")&gt;500,"-",IFERROR((M19-G19)/G19*100,""))</f>
        <v>469.60801984854436</v>
      </c>
      <c r="N78" s="1542">
        <f t="shared" si="55"/>
        <v>8.2732586383149442</v>
      </c>
      <c r="O78" s="1542">
        <f t="shared" si="55"/>
        <v>-22.794433050554048</v>
      </c>
      <c r="P78" s="1542">
        <f t="shared" si="55"/>
        <v>114.79823486627394</v>
      </c>
      <c r="Q78" s="1542">
        <f t="shared" si="55"/>
        <v>14.113383944196094</v>
      </c>
      <c r="R78" s="581"/>
      <c r="S78" s="565"/>
      <c r="T78" s="566"/>
      <c r="U78" s="566"/>
      <c r="V78" s="566"/>
      <c r="W78" s="566"/>
      <c r="X78" s="566"/>
      <c r="Y78" s="566"/>
      <c r="Z78" s="566"/>
      <c r="AA78" s="566"/>
      <c r="AB78" s="581"/>
      <c r="AC78" s="581"/>
      <c r="AD78" s="581"/>
    </row>
    <row r="79" spans="3:30" s="559" customFormat="1" ht="15" customHeight="1">
      <c r="C79" s="682" t="str">
        <f>IF(Indice_index!$Z$1=1,"Venda de bens de investimento","Sale of investment goods")</f>
        <v>Sale of investment goods</v>
      </c>
      <c r="D79" s="320"/>
      <c r="E79" s="320"/>
      <c r="F79" s="320"/>
      <c r="G79" s="1523">
        <f t="shared" si="45"/>
        <v>0.48964092999999664</v>
      </c>
      <c r="H79" s="1523">
        <f t="shared" si="46"/>
        <v>-3.7783717999999915</v>
      </c>
      <c r="I79" s="1523">
        <f t="shared" si="47"/>
        <v>-24.759318722721943</v>
      </c>
      <c r="J79" s="1523">
        <f t="shared" si="48"/>
        <v>0.16284414000000003</v>
      </c>
      <c r="K79" s="1523">
        <f t="shared" si="49"/>
        <v>-27.885205452721934</v>
      </c>
      <c r="L79" s="1542"/>
      <c r="M79" s="1523">
        <f t="shared" si="55"/>
        <v>1.6110040585966081</v>
      </c>
      <c r="N79" s="1523">
        <f t="shared" si="55"/>
        <v>-10.872277711612552</v>
      </c>
      <c r="O79" s="1523">
        <f t="shared" si="55"/>
        <v>-56.600105662382703</v>
      </c>
      <c r="P79" s="1523">
        <f t="shared" si="55"/>
        <v>111.99142988871019</v>
      </c>
      <c r="Q79" s="1523">
        <f t="shared" si="55"/>
        <v>-25.574409467265831</v>
      </c>
      <c r="R79" s="581"/>
      <c r="S79" s="565"/>
      <c r="T79" s="566"/>
      <c r="U79" s="566"/>
      <c r="V79" s="566"/>
      <c r="W79" s="566"/>
      <c r="X79" s="566"/>
      <c r="Y79" s="566"/>
      <c r="Z79" s="566"/>
      <c r="AA79" s="566"/>
      <c r="AB79" s="581"/>
      <c r="AC79" s="581"/>
      <c r="AD79" s="581"/>
    </row>
    <row r="80" spans="3:30" s="559" customFormat="1" ht="15" customHeight="1">
      <c r="C80" s="688" t="str">
        <f>IF(Indice_index!$Z$1=1,"Transferências de Capital","Capital transfers")</f>
        <v>Capital transfers</v>
      </c>
      <c r="D80" s="320"/>
      <c r="E80" s="320"/>
      <c r="F80" s="320"/>
      <c r="G80" s="1523">
        <f t="shared" si="45"/>
        <v>212.62260836999999</v>
      </c>
      <c r="H80" s="1523">
        <f t="shared" si="46"/>
        <v>72.373846089999915</v>
      </c>
      <c r="I80" s="1523">
        <f t="shared" si="47"/>
        <v>-118.21537590591277</v>
      </c>
      <c r="J80" s="1523">
        <f t="shared" si="48"/>
        <v>0</v>
      </c>
      <c r="K80" s="1523">
        <f t="shared" si="49"/>
        <v>143.17877880408719</v>
      </c>
      <c r="L80" s="1542"/>
      <c r="M80" s="1523" t="str">
        <f t="shared" si="55"/>
        <v>-</v>
      </c>
      <c r="N80" s="1523">
        <f t="shared" si="55"/>
        <v>8.5411053411986835</v>
      </c>
      <c r="O80" s="1523">
        <f t="shared" si="55"/>
        <v>-21.140705312421755</v>
      </c>
      <c r="P80" s="1523" t="str">
        <f t="shared" si="55"/>
        <v>-</v>
      </c>
      <c r="Q80" s="1523">
        <f t="shared" si="55"/>
        <v>17.936899174373387</v>
      </c>
      <c r="R80" s="581"/>
      <c r="S80" s="565"/>
      <c r="T80" s="566"/>
      <c r="U80" s="566"/>
      <c r="V80" s="566"/>
      <c r="W80" s="566"/>
      <c r="X80" s="566"/>
      <c r="Y80" s="566"/>
      <c r="Z80" s="566"/>
      <c r="AA80" s="566"/>
      <c r="AB80" s="581"/>
      <c r="AC80" s="581"/>
      <c r="AD80" s="581"/>
    </row>
    <row r="81" spans="2:30" s="559" customFormat="1" ht="15" customHeight="1">
      <c r="C81" s="1522" t="str">
        <f>IF(Indice_index!$Z$1=1,"Administrações Públicas","General Government subsectors")</f>
        <v>General Government subsectors</v>
      </c>
      <c r="D81" s="320"/>
      <c r="E81" s="320"/>
      <c r="F81" s="320"/>
      <c r="G81" s="1523">
        <f t="shared" si="45"/>
        <v>1.2118654999999992</v>
      </c>
      <c r="H81" s="1523">
        <f t="shared" si="46"/>
        <v>17.237897729999929</v>
      </c>
      <c r="I81" s="1523">
        <f t="shared" si="47"/>
        <v>5.1525365200000408</v>
      </c>
      <c r="J81" s="1523">
        <f t="shared" si="48"/>
        <v>0</v>
      </c>
      <c r="K81" s="1523">
        <f t="shared" si="49"/>
        <v>0</v>
      </c>
      <c r="L81" s="1542"/>
      <c r="M81" s="1523">
        <f t="shared" si="55"/>
        <v>23.118830769744015</v>
      </c>
      <c r="N81" s="1523">
        <f t="shared" si="55"/>
        <v>4.6955757440907231</v>
      </c>
      <c r="O81" s="1523">
        <f t="shared" si="55"/>
        <v>2.064888218865474</v>
      </c>
      <c r="P81" s="1523" t="str">
        <f t="shared" si="55"/>
        <v>-</v>
      </c>
      <c r="Q81" s="1523" t="str">
        <f t="shared" si="55"/>
        <v>-</v>
      </c>
      <c r="R81" s="581"/>
      <c r="S81" s="565"/>
      <c r="T81" s="566"/>
      <c r="U81" s="566"/>
      <c r="V81" s="566"/>
      <c r="W81" s="566"/>
      <c r="X81" s="566"/>
      <c r="Y81" s="566"/>
      <c r="Z81" s="566"/>
      <c r="AA81" s="566"/>
      <c r="AB81" s="581"/>
      <c r="AC81" s="581"/>
      <c r="AD81" s="581"/>
    </row>
    <row r="82" spans="2:30" s="559" customFormat="1" ht="15" customHeight="1">
      <c r="C82" s="1522" t="str">
        <f>IF(Indice_index!$Z$1=1,"Outras","Others")</f>
        <v>Others</v>
      </c>
      <c r="D82" s="320"/>
      <c r="E82" s="320"/>
      <c r="F82" s="320"/>
      <c r="G82" s="1523">
        <f t="shared" si="45"/>
        <v>211.41074286999998</v>
      </c>
      <c r="H82" s="1523">
        <f t="shared" si="46"/>
        <v>55.135948359999929</v>
      </c>
      <c r="I82" s="1523">
        <f t="shared" si="47"/>
        <v>-123.36791242591283</v>
      </c>
      <c r="J82" s="1523">
        <f t="shared" si="48"/>
        <v>0</v>
      </c>
      <c r="K82" s="1523">
        <f t="shared" si="49"/>
        <v>143.17877880408719</v>
      </c>
      <c r="L82" s="1542"/>
      <c r="M82" s="1523" t="str">
        <f t="shared" si="55"/>
        <v>-</v>
      </c>
      <c r="N82" s="1523">
        <f t="shared" si="55"/>
        <v>11.480678869589644</v>
      </c>
      <c r="O82" s="1523">
        <f t="shared" si="55"/>
        <v>-39.840738497556323</v>
      </c>
      <c r="P82" s="1523" t="str">
        <f t="shared" si="55"/>
        <v>-</v>
      </c>
      <c r="Q82" s="1523">
        <f t="shared" si="55"/>
        <v>17.936899174373387</v>
      </c>
      <c r="R82" s="581"/>
      <c r="S82" s="565"/>
      <c r="T82" s="566"/>
      <c r="U82" s="566"/>
      <c r="V82" s="566"/>
      <c r="W82" s="566"/>
      <c r="X82" s="566"/>
      <c r="Y82" s="566"/>
      <c r="Z82" s="566"/>
      <c r="AA82" s="566"/>
      <c r="AB82" s="581"/>
      <c r="AC82" s="581"/>
      <c r="AD82" s="581"/>
    </row>
    <row r="83" spans="2:30" ht="15" customHeight="1">
      <c r="C83" s="682" t="str">
        <f>IF(Indice_index!$Z$1=1,"Outras receitas de capital","Other capital revenue")</f>
        <v>Other capital revenue</v>
      </c>
      <c r="D83" s="1353"/>
      <c r="E83" s="1546"/>
      <c r="F83" s="1353"/>
      <c r="G83" s="1523">
        <f t="shared" si="45"/>
        <v>6.8388475099999981</v>
      </c>
      <c r="H83" s="1523">
        <f t="shared" si="46"/>
        <v>4.6054115300000005</v>
      </c>
      <c r="I83" s="1523">
        <f t="shared" si="47"/>
        <v>4.0960677521455953</v>
      </c>
      <c r="J83" s="1523">
        <f t="shared" si="48"/>
        <v>4.0813100000000003E-3</v>
      </c>
      <c r="K83" s="1523">
        <f t="shared" si="49"/>
        <v>15.544408102145592</v>
      </c>
      <c r="L83" s="1542"/>
      <c r="M83" s="1523">
        <f t="shared" si="55"/>
        <v>381.95483111112736</v>
      </c>
      <c r="N83" s="1523">
        <f t="shared" si="55"/>
        <v>172.00773987325738</v>
      </c>
      <c r="O83" s="1523">
        <f t="shared" si="55"/>
        <v>64.761775169269157</v>
      </c>
      <c r="P83" s="1523" t="str">
        <f t="shared" si="55"/>
        <v>-</v>
      </c>
      <c r="Q83" s="1523">
        <f t="shared" si="55"/>
        <v>144.02634304501757</v>
      </c>
      <c r="R83" s="582"/>
      <c r="S83" s="569"/>
      <c r="T83" s="562"/>
      <c r="U83" s="562"/>
      <c r="V83" s="562"/>
      <c r="W83" s="562"/>
      <c r="X83" s="562"/>
      <c r="Y83" s="562"/>
      <c r="Z83" s="562"/>
      <c r="AA83" s="562"/>
      <c r="AB83" s="582"/>
      <c r="AC83" s="582"/>
      <c r="AD83" s="582"/>
    </row>
    <row r="84" spans="2:30" ht="15" customHeight="1">
      <c r="B84" s="570"/>
      <c r="C84" s="688" t="str">
        <f>IF(Indice_index!$Z$1=1,"Diferenças de consolidação","Consolidation differences")</f>
        <v>Consolidation differences</v>
      </c>
      <c r="D84" s="1353"/>
      <c r="E84" s="1353"/>
      <c r="F84" s="1353"/>
      <c r="G84" s="1523">
        <f t="shared" si="45"/>
        <v>-0.71724725000000045</v>
      </c>
      <c r="H84" s="1523">
        <f t="shared" si="46"/>
        <v>0</v>
      </c>
      <c r="I84" s="1523">
        <f t="shared" si="47"/>
        <v>2.9029599999716993E-3</v>
      </c>
      <c r="J84" s="1523">
        <f t="shared" si="48"/>
        <v>0</v>
      </c>
      <c r="K84" s="1523">
        <f t="shared" si="49"/>
        <v>-1.0851427300001866</v>
      </c>
      <c r="L84" s="1523"/>
      <c r="M84" s="1545" t="s">
        <v>3</v>
      </c>
      <c r="N84" s="1545" t="s">
        <v>3</v>
      </c>
      <c r="O84" s="1545" t="s">
        <v>3</v>
      </c>
      <c r="P84" s="1545" t="s">
        <v>3</v>
      </c>
      <c r="Q84" s="1545" t="s">
        <v>3</v>
      </c>
      <c r="R84" s="582"/>
      <c r="S84" s="569"/>
      <c r="T84" s="562"/>
      <c r="U84" s="562"/>
      <c r="V84" s="562"/>
      <c r="W84" s="562"/>
      <c r="X84" s="562"/>
      <c r="Y84" s="562"/>
      <c r="Z84" s="562"/>
      <c r="AA84" s="562"/>
      <c r="AB84" s="582"/>
      <c r="AC84" s="582"/>
      <c r="AD84" s="582"/>
    </row>
    <row r="85" spans="2:30" s="559" customFormat="1" ht="4.5" customHeight="1">
      <c r="C85" s="1353"/>
      <c r="D85" s="320"/>
      <c r="E85" s="320"/>
      <c r="F85" s="320"/>
      <c r="G85" s="1547"/>
      <c r="H85" s="1547"/>
      <c r="I85" s="1547"/>
      <c r="J85" s="1547"/>
      <c r="K85" s="1547"/>
      <c r="L85" s="1547"/>
      <c r="M85" s="1547"/>
      <c r="N85" s="1547"/>
      <c r="O85" s="1547"/>
      <c r="P85" s="1547"/>
      <c r="Q85" s="1547"/>
      <c r="R85" s="581"/>
      <c r="S85" s="565"/>
      <c r="T85" s="566"/>
      <c r="U85" s="566"/>
      <c r="V85" s="566"/>
      <c r="W85" s="566"/>
      <c r="X85" s="566"/>
      <c r="Y85" s="566"/>
      <c r="Z85" s="566"/>
      <c r="AA85" s="566"/>
      <c r="AB85" s="581"/>
      <c r="AC85" s="581"/>
      <c r="AD85" s="581"/>
    </row>
    <row r="86" spans="2:30" ht="15" customHeight="1">
      <c r="B86" s="570"/>
      <c r="C86" s="1496" t="str">
        <f>IF(Indice_index!$Z$1=1,"Receita efetiva","Effective revenue")</f>
        <v>Effective revenue</v>
      </c>
      <c r="D86" s="1496"/>
      <c r="E86" s="1496"/>
      <c r="F86" s="1496"/>
      <c r="G86" s="1548">
        <f>M27-G27</f>
        <v>3344.1971132500003</v>
      </c>
      <c r="H86" s="1548">
        <f>N27-H27</f>
        <v>490.32231382000646</v>
      </c>
      <c r="I86" s="1548">
        <f>O27-I27</f>
        <v>230.50488682751802</v>
      </c>
      <c r="J86" s="1548">
        <f>P27-J27</f>
        <v>873.16261126999962</v>
      </c>
      <c r="K86" s="1548">
        <f>Q27-K27</f>
        <v>4982.1566824575311</v>
      </c>
      <c r="L86" s="1542"/>
      <c r="M86" s="1548">
        <f>IF(IFERROR((M27-G27)/G27*100,"")&gt;500,"-",IFERROR((M27-G27)/G27*100,""))</f>
        <v>20.391781460377327</v>
      </c>
      <c r="N86" s="1548">
        <f>IF(IFERROR((N27-H27)/H27*100,"")&gt;500,"-",IFERROR((N27-H27)/H27*100,""))</f>
        <v>3.7297113806269717</v>
      </c>
      <c r="O86" s="1548">
        <f>IF(IFERROR((O27-I27)/I27*100,"")&gt;500,"-",IFERROR((O27-I27)/I27*100,""))</f>
        <v>5.2175286031366124</v>
      </c>
      <c r="P86" s="1548">
        <f>IF(IFERROR((P27-J27)/J27*100,"")&gt;500,"-",IFERROR((P27-J27)/J27*100,""))</f>
        <v>6.8754389360028147</v>
      </c>
      <c r="Q86" s="1548">
        <f>IF(IFERROR((Q27-K27)/K27*100,"")&gt;500,"-",IFERROR((Q27-K27)/K27*100,""))</f>
        <v>15.902076218089148</v>
      </c>
      <c r="R86" s="582"/>
      <c r="S86" s="582"/>
      <c r="T86" s="19"/>
      <c r="U86" s="19"/>
      <c r="AB86" s="582"/>
      <c r="AC86" s="582"/>
      <c r="AD86" s="582"/>
    </row>
    <row r="87" spans="2:30" s="559" customFormat="1" ht="4.5" customHeight="1">
      <c r="C87" s="1353"/>
      <c r="D87" s="320"/>
      <c r="E87" s="320"/>
      <c r="F87" s="320"/>
      <c r="G87" s="1547"/>
      <c r="H87" s="1547"/>
      <c r="I87" s="1547"/>
      <c r="J87" s="1547"/>
      <c r="K87" s="1549"/>
      <c r="L87" s="1547"/>
      <c r="M87" s="1547"/>
      <c r="N87" s="1547"/>
      <c r="O87" s="1547"/>
      <c r="P87" s="1547"/>
      <c r="Q87" s="1547"/>
      <c r="R87" s="581"/>
      <c r="S87" s="581"/>
      <c r="T87" s="560"/>
      <c r="U87" s="560"/>
      <c r="V87" s="560"/>
      <c r="W87" s="560"/>
      <c r="X87" s="560"/>
      <c r="Y87" s="560"/>
      <c r="Z87" s="560"/>
      <c r="AA87" s="560"/>
      <c r="AB87" s="581"/>
      <c r="AC87" s="581"/>
      <c r="AD87" s="581"/>
    </row>
    <row r="88" spans="2:30" ht="15" customHeight="1">
      <c r="C88" s="320" t="str">
        <f>IF(Indice_index!$Z$1=1,"Despesa corrente","Current expenditure")</f>
        <v>Current expenditure</v>
      </c>
      <c r="D88" s="1353"/>
      <c r="E88" s="688"/>
      <c r="F88" s="1353"/>
      <c r="G88" s="1542">
        <f t="shared" ref="G88:G107" si="56">M29-G29</f>
        <v>-16.167420099998708</v>
      </c>
      <c r="H88" s="1542">
        <f t="shared" ref="H88:H107" si="57">N29-H29</f>
        <v>389.42302420003398</v>
      </c>
      <c r="I88" s="1542">
        <f t="shared" ref="I88:I107" si="58">O29-I29</f>
        <v>195.64275570365999</v>
      </c>
      <c r="J88" s="1542">
        <f t="shared" ref="J88:J107" si="59">P29-J29</f>
        <v>-864.56030277999707</v>
      </c>
      <c r="K88" s="1542">
        <f t="shared" ref="K88:K107" si="60">Q29-K29</f>
        <v>-227.71908749630529</v>
      </c>
      <c r="L88" s="1542"/>
      <c r="M88" s="1542">
        <f t="shared" ref="M88:M99" si="61">IF(IFERROR((M29-G29)/G29*100,"")&gt;500,"-",IFERROR((M29-G29)/G29*100,""))</f>
        <v>-7.34432248001856E-2</v>
      </c>
      <c r="N88" s="1542">
        <f t="shared" ref="N88:N99" si="62">IF(IFERROR((N29-H29)/H29*100,"")&gt;500,"-",IFERROR((N29-H29)/H29*100,""))</f>
        <v>3.4744624993831934</v>
      </c>
      <c r="O88" s="1542">
        <f t="shared" ref="O88:O99" si="63">IF(IFERROR((O29-I29)/I29*100,"")&gt;500,"-",IFERROR((O29-I29)/I29*100,""))</f>
        <v>5.5491387151043217</v>
      </c>
      <c r="P88" s="1542">
        <f t="shared" ref="P88:P99" si="64">IF(IFERROR((P29-J29)/J29*100,"")&gt;500,"-",IFERROR((P29-J29)/J29*100,""))</f>
        <v>-6.9780694376952059</v>
      </c>
      <c r="Q88" s="1542">
        <f t="shared" ref="Q88:Q99" si="65">IF(IFERROR((Q29-K29)/K29*100,"")&gt;500,"-",IFERROR((Q29-K29)/K29*100,""))</f>
        <v>-0.66149419213809413</v>
      </c>
      <c r="R88" s="582"/>
      <c r="S88" s="582"/>
      <c r="T88" s="19"/>
      <c r="U88" s="19"/>
      <c r="AB88" s="582"/>
      <c r="AC88" s="582"/>
      <c r="AD88" s="582"/>
    </row>
    <row r="89" spans="2:30" ht="15" customHeight="1">
      <c r="C89" s="688" t="str">
        <f>IF(Indice_index!$Z$1=1,"Despesas com o pessoal","Compensation of employees")</f>
        <v>Compensation of employees</v>
      </c>
      <c r="D89" s="1353"/>
      <c r="E89" s="688"/>
      <c r="F89" s="1353"/>
      <c r="G89" s="1523">
        <f t="shared" si="56"/>
        <v>-6.4918474099958985</v>
      </c>
      <c r="H89" s="1523">
        <f t="shared" si="57"/>
        <v>52.545087040004091</v>
      </c>
      <c r="I89" s="1523">
        <f t="shared" si="58"/>
        <v>138.65055143727568</v>
      </c>
      <c r="J89" s="1523">
        <f t="shared" si="59"/>
        <v>5.0816599699999472</v>
      </c>
      <c r="K89" s="1523">
        <f t="shared" si="60"/>
        <v>189.78545103728356</v>
      </c>
      <c r="L89" s="1523"/>
      <c r="M89" s="1523">
        <f t="shared" si="61"/>
        <v>-0.17395664476172984</v>
      </c>
      <c r="N89" s="1523">
        <f t="shared" si="62"/>
        <v>1.7028318792906099</v>
      </c>
      <c r="O89" s="1523">
        <f t="shared" si="63"/>
        <v>8.495088334004846</v>
      </c>
      <c r="P89" s="1523">
        <f t="shared" si="64"/>
        <v>4.9133333145488196</v>
      </c>
      <c r="Q89" s="1523">
        <f t="shared" si="65"/>
        <v>2.2188886867546418</v>
      </c>
      <c r="R89" s="582"/>
      <c r="S89" s="582"/>
      <c r="T89" s="19"/>
      <c r="U89" s="19"/>
      <c r="AB89" s="582"/>
      <c r="AC89" s="582"/>
      <c r="AD89" s="582"/>
    </row>
    <row r="90" spans="2:30" ht="15" customHeight="1">
      <c r="C90" s="1016" t="str">
        <f>IF(Indice_index!$Z$1=1,"Remunerações Certas e Permanentes","Certain and permanent wages")</f>
        <v>Certain and permanent wages</v>
      </c>
      <c r="D90" s="1353"/>
      <c r="E90" s="688"/>
      <c r="F90" s="1353"/>
      <c r="G90" s="1523">
        <f t="shared" si="56"/>
        <v>20.97804981000445</v>
      </c>
      <c r="H90" s="1523">
        <f t="shared" si="57"/>
        <v>57.997331270004452</v>
      </c>
      <c r="I90" s="1523">
        <f t="shared" si="58"/>
        <v>103.72733638467025</v>
      </c>
      <c r="J90" s="1523">
        <f t="shared" si="59"/>
        <v>4.3633470299999431</v>
      </c>
      <c r="K90" s="1523">
        <f t="shared" si="60"/>
        <v>187.06606449467836</v>
      </c>
      <c r="L90" s="1523"/>
      <c r="M90" s="1523">
        <f t="shared" si="61"/>
        <v>0.79103707114674426</v>
      </c>
      <c r="N90" s="1523">
        <f t="shared" si="62"/>
        <v>2.7425117954051439</v>
      </c>
      <c r="O90" s="1523">
        <f t="shared" si="63"/>
        <v>8.5236562572172847</v>
      </c>
      <c r="P90" s="1523">
        <f t="shared" si="64"/>
        <v>5.2734448991169875</v>
      </c>
      <c r="Q90" s="1523">
        <f t="shared" si="65"/>
        <v>3.083643670327687</v>
      </c>
      <c r="R90" s="582"/>
      <c r="S90" s="582"/>
      <c r="T90" s="19"/>
      <c r="U90" s="19"/>
      <c r="AB90" s="582"/>
      <c r="AC90" s="582"/>
      <c r="AD90" s="582"/>
    </row>
    <row r="91" spans="2:30" ht="15" customHeight="1">
      <c r="C91" s="1016" t="str">
        <f>IF(Indice_index!$Z$1=1,"Abonos Variáveis ou Eventuais","Variable or contingent bonuses")</f>
        <v>Variable or contingent bonuses</v>
      </c>
      <c r="D91" s="1353"/>
      <c r="E91" s="688"/>
      <c r="F91" s="1353"/>
      <c r="G91" s="1523">
        <f t="shared" si="56"/>
        <v>6.9049675500002081</v>
      </c>
      <c r="H91" s="1523">
        <f t="shared" si="57"/>
        <v>-13.050947400000098</v>
      </c>
      <c r="I91" s="1523">
        <f t="shared" si="58"/>
        <v>15.204258988727915</v>
      </c>
      <c r="J91" s="1523">
        <f t="shared" si="59"/>
        <v>0.1833233000000003</v>
      </c>
      <c r="K91" s="1523">
        <f t="shared" si="60"/>
        <v>9.2416024387280231</v>
      </c>
      <c r="L91" s="1523"/>
      <c r="M91" s="1523">
        <f t="shared" si="61"/>
        <v>4.8600950504131948</v>
      </c>
      <c r="N91" s="1523">
        <f t="shared" si="62"/>
        <v>-3.3372613603370764</v>
      </c>
      <c r="O91" s="1523">
        <f t="shared" si="63"/>
        <v>17.269433206593657</v>
      </c>
      <c r="P91" s="1523">
        <f t="shared" si="64"/>
        <v>10.484058487388866</v>
      </c>
      <c r="Q91" s="1523">
        <f t="shared" si="65"/>
        <v>1.483564338349842</v>
      </c>
      <c r="R91" s="582"/>
      <c r="S91" s="582"/>
      <c r="T91" s="19"/>
      <c r="U91" s="19"/>
      <c r="AB91" s="582"/>
      <c r="AC91" s="582"/>
      <c r="AD91" s="582"/>
    </row>
    <row r="92" spans="2:30" ht="15" customHeight="1">
      <c r="C92" s="1016" t="str">
        <f>IF(Indice_index!$Z$1=1,"Segurança social","Social security")</f>
        <v>Social security</v>
      </c>
      <c r="D92" s="1353"/>
      <c r="E92" s="688"/>
      <c r="F92" s="1353"/>
      <c r="G92" s="1523">
        <f t="shared" si="56"/>
        <v>-34.374864770000386</v>
      </c>
      <c r="H92" s="1523">
        <f t="shared" si="57"/>
        <v>7.5987031699999079</v>
      </c>
      <c r="I92" s="1523">
        <f t="shared" si="58"/>
        <v>19.71895606387767</v>
      </c>
      <c r="J92" s="1523">
        <f t="shared" si="59"/>
        <v>0.53498964000000626</v>
      </c>
      <c r="K92" s="1523">
        <f t="shared" si="60"/>
        <v>-6.5222158961225887</v>
      </c>
      <c r="L92" s="1523"/>
      <c r="M92" s="1523">
        <f t="shared" si="61"/>
        <v>-3.6653466665285719</v>
      </c>
      <c r="N92" s="1523">
        <f t="shared" si="62"/>
        <v>1.3102854387156284</v>
      </c>
      <c r="O92" s="1523">
        <f t="shared" si="63"/>
        <v>6.0274995295869811</v>
      </c>
      <c r="P92" s="1523">
        <f t="shared" si="64"/>
        <v>2.8253332497835641</v>
      </c>
      <c r="Q92" s="1523">
        <f t="shared" si="65"/>
        <v>-0.34993309251552224</v>
      </c>
      <c r="R92" s="582"/>
      <c r="S92" s="582"/>
      <c r="T92" s="19"/>
      <c r="U92" s="19"/>
      <c r="AB92" s="582"/>
      <c r="AC92" s="582"/>
      <c r="AD92" s="582"/>
    </row>
    <row r="93" spans="2:30" ht="15" customHeight="1">
      <c r="C93" s="688" t="str">
        <f>IF(Indice_index!$Z$1=1,"Aquisição de bens e serviços","Purchase of goods and services")</f>
        <v>Purchase of goods and services</v>
      </c>
      <c r="D93" s="1353"/>
      <c r="E93" s="688"/>
      <c r="F93" s="1353"/>
      <c r="G93" s="1523">
        <f t="shared" si="56"/>
        <v>96.168225579999444</v>
      </c>
      <c r="H93" s="1523">
        <f t="shared" si="57"/>
        <v>387.47192727002221</v>
      </c>
      <c r="I93" s="1523">
        <f t="shared" si="58"/>
        <v>92.06910216156416</v>
      </c>
      <c r="J93" s="1523">
        <f t="shared" si="59"/>
        <v>-4.9462402900000058</v>
      </c>
      <c r="K93" s="1523">
        <f t="shared" si="60"/>
        <v>570.99499901158561</v>
      </c>
      <c r="L93" s="1523"/>
      <c r="M93" s="1523">
        <f t="shared" si="61"/>
        <v>24.368169003086411</v>
      </c>
      <c r="N93" s="1523">
        <f t="shared" si="62"/>
        <v>12.235407776151023</v>
      </c>
      <c r="O93" s="1523">
        <f t="shared" si="63"/>
        <v>8.0167948657939423</v>
      </c>
      <c r="P93" s="1523">
        <f t="shared" si="64"/>
        <v>-14.98185223965301</v>
      </c>
      <c r="Q93" s="1523">
        <f t="shared" si="65"/>
        <v>12.040190757832164</v>
      </c>
      <c r="R93" s="582"/>
      <c r="S93" s="582"/>
      <c r="T93" s="19"/>
      <c r="U93" s="19"/>
      <c r="AB93" s="582"/>
      <c r="AC93" s="582"/>
      <c r="AD93" s="582"/>
    </row>
    <row r="94" spans="2:30" ht="15" customHeight="1">
      <c r="C94" s="688" t="str">
        <f>IF(Indice_index!$Z$1=1,"Juros e outros encargos","Interests and other charges")</f>
        <v>Interests and other charges</v>
      </c>
      <c r="D94" s="1353"/>
      <c r="E94" s="688"/>
      <c r="F94" s="1353"/>
      <c r="G94" s="1523">
        <f t="shared" si="56"/>
        <v>-448.91128538999919</v>
      </c>
      <c r="H94" s="1523">
        <f t="shared" si="57"/>
        <v>-97.547666309999912</v>
      </c>
      <c r="I94" s="1523">
        <f t="shared" si="58"/>
        <v>10.77966099705155</v>
      </c>
      <c r="J94" s="1523">
        <f t="shared" si="59"/>
        <v>2.6822800000000591E-2</v>
      </c>
      <c r="K94" s="1523">
        <f t="shared" si="60"/>
        <v>-450.49041073294711</v>
      </c>
      <c r="L94" s="1523"/>
      <c r="M94" s="1523">
        <f t="shared" si="61"/>
        <v>-13.811421116334554</v>
      </c>
      <c r="N94" s="1523">
        <f t="shared" si="62"/>
        <v>-57.067889209247788</v>
      </c>
      <c r="O94" s="1523">
        <f t="shared" si="63"/>
        <v>22.28906920623848</v>
      </c>
      <c r="P94" s="1523">
        <f t="shared" si="64"/>
        <v>0.99597745459766918</v>
      </c>
      <c r="Q94" s="1523">
        <f t="shared" si="65"/>
        <v>-13.416563743850629</v>
      </c>
      <c r="R94" s="582"/>
      <c r="S94" s="582"/>
      <c r="T94" s="19"/>
      <c r="U94" s="19"/>
      <c r="AB94" s="582"/>
      <c r="AC94" s="582"/>
      <c r="AD94" s="582"/>
    </row>
    <row r="95" spans="2:30" ht="15" customHeight="1">
      <c r="C95" s="688" t="str">
        <f>IF(Indice_index!$Z$1=1,"Transferências correntes","Current transfers")</f>
        <v>Current transfers</v>
      </c>
      <c r="D95" s="1353"/>
      <c r="E95" s="688"/>
      <c r="F95" s="1353"/>
      <c r="G95" s="1523">
        <f t="shared" si="56"/>
        <v>226.7692378799984</v>
      </c>
      <c r="H95" s="1523">
        <f t="shared" si="57"/>
        <v>85.280622340003902</v>
      </c>
      <c r="I95" s="1523">
        <f t="shared" si="58"/>
        <v>-0.53970497235263792</v>
      </c>
      <c r="J95" s="1523">
        <f t="shared" si="59"/>
        <v>-763.0682160399956</v>
      </c>
      <c r="K95" s="1523">
        <f t="shared" si="60"/>
        <v>-619.81354803234353</v>
      </c>
      <c r="L95" s="1523"/>
      <c r="M95" s="1523">
        <f t="shared" si="61"/>
        <v>1.5686314648377835</v>
      </c>
      <c r="N95" s="1523">
        <f t="shared" si="62"/>
        <v>1.9447335555772578</v>
      </c>
      <c r="O95" s="1523">
        <f t="shared" si="63"/>
        <v>-0.12971815094046976</v>
      </c>
      <c r="P95" s="1523">
        <f t="shared" si="64"/>
        <v>-6.4814424876752152</v>
      </c>
      <c r="Q95" s="1523">
        <f t="shared" si="65"/>
        <v>-3.7137632046110003</v>
      </c>
      <c r="R95" s="582"/>
      <c r="S95" s="582"/>
      <c r="T95" s="19"/>
      <c r="U95" s="19"/>
      <c r="AB95" s="582"/>
      <c r="AC95" s="582"/>
      <c r="AD95" s="582"/>
    </row>
    <row r="96" spans="2:30" ht="15" customHeight="1">
      <c r="C96" s="1522" t="str">
        <f>IF(Indice_index!$Z$1=1,"Administrações Públicas","General Government subsectors")</f>
        <v>General Government subsectors</v>
      </c>
      <c r="D96" s="1353"/>
      <c r="E96" s="688"/>
      <c r="F96" s="1353"/>
      <c r="G96" s="1523">
        <f t="shared" si="56"/>
        <v>186.46886659999655</v>
      </c>
      <c r="H96" s="1523">
        <f t="shared" si="57"/>
        <v>-62.066802370000062</v>
      </c>
      <c r="I96" s="1523">
        <f t="shared" si="58"/>
        <v>10.429862629999953</v>
      </c>
      <c r="J96" s="1523">
        <f t="shared" si="59"/>
        <v>33.423560380000026</v>
      </c>
      <c r="K96" s="1523">
        <f t="shared" si="60"/>
        <v>0</v>
      </c>
      <c r="L96" s="1523"/>
      <c r="M96" s="1523">
        <f t="shared" si="61"/>
        <v>1.4224079985416958</v>
      </c>
      <c r="N96" s="1523">
        <f t="shared" si="62"/>
        <v>-14.582254012727558</v>
      </c>
      <c r="O96" s="1523">
        <f t="shared" si="63"/>
        <v>18.593682557764865</v>
      </c>
      <c r="P96" s="1523">
        <f t="shared" si="64"/>
        <v>4.455571422585888</v>
      </c>
      <c r="Q96" s="1523" t="str">
        <f t="shared" si="65"/>
        <v>-</v>
      </c>
      <c r="R96" s="582"/>
      <c r="S96" s="582"/>
      <c r="T96" s="19"/>
      <c r="U96" s="19"/>
      <c r="AB96" s="582"/>
      <c r="AC96" s="582"/>
      <c r="AD96" s="582"/>
    </row>
    <row r="97" spans="2:30" ht="15" customHeight="1">
      <c r="C97" s="1522" t="str">
        <f>IF(Indice_index!$Z$1=1,"Outras","Others")</f>
        <v>Others</v>
      </c>
      <c r="D97" s="1353"/>
      <c r="E97" s="688"/>
      <c r="F97" s="1353"/>
      <c r="G97" s="1523">
        <f t="shared" si="56"/>
        <v>40.300371280000491</v>
      </c>
      <c r="H97" s="1523">
        <f t="shared" si="57"/>
        <v>147.34742471000391</v>
      </c>
      <c r="I97" s="1523">
        <f t="shared" si="58"/>
        <v>-10.969567602352583</v>
      </c>
      <c r="J97" s="1523">
        <f t="shared" si="59"/>
        <v>-796.49177641999631</v>
      </c>
      <c r="K97" s="1523">
        <f t="shared" si="60"/>
        <v>-619.81354803234353</v>
      </c>
      <c r="L97" s="1523"/>
      <c r="M97" s="1523">
        <f t="shared" si="61"/>
        <v>2.9915900048797224</v>
      </c>
      <c r="N97" s="1523">
        <f t="shared" si="62"/>
        <v>3.7212928848044431</v>
      </c>
      <c r="O97" s="1523">
        <f t="shared" si="63"/>
        <v>-3.0473887763026428</v>
      </c>
      <c r="P97" s="1523">
        <f t="shared" si="64"/>
        <v>-7.2257448376799402</v>
      </c>
      <c r="Q97" s="1523">
        <f t="shared" si="65"/>
        <v>-3.7137632046110003</v>
      </c>
      <c r="R97" s="582"/>
      <c r="S97" s="582"/>
      <c r="T97" s="19"/>
      <c r="U97" s="19"/>
      <c r="AB97" s="582"/>
      <c r="AC97" s="582"/>
      <c r="AD97" s="582"/>
    </row>
    <row r="98" spans="2:30" ht="15" customHeight="1">
      <c r="C98" s="688" t="str">
        <f>IF(Indice_index!$Z$1=1,"Subsídios","Subsidies")</f>
        <v>Subsidies</v>
      </c>
      <c r="D98" s="1353"/>
      <c r="E98" s="688"/>
      <c r="F98" s="1353"/>
      <c r="G98" s="1523">
        <f t="shared" si="56"/>
        <v>111.16347919999998</v>
      </c>
      <c r="H98" s="1523">
        <f t="shared" si="57"/>
        <v>-45.623720940000112</v>
      </c>
      <c r="I98" s="1523">
        <f t="shared" si="58"/>
        <v>-59.739061876185843</v>
      </c>
      <c r="J98" s="1523">
        <f t="shared" si="59"/>
        <v>-101.98273575000002</v>
      </c>
      <c r="K98" s="1523">
        <f t="shared" si="60"/>
        <v>54.622261893814198</v>
      </c>
      <c r="L98" s="1523"/>
      <c r="M98" s="1523" t="str">
        <f t="shared" si="61"/>
        <v>-</v>
      </c>
      <c r="N98" s="1523">
        <f t="shared" si="62"/>
        <v>-12.991123752773104</v>
      </c>
      <c r="O98" s="1523">
        <f t="shared" si="63"/>
        <v>-25.284112406037934</v>
      </c>
      <c r="P98" s="1523">
        <f t="shared" si="64"/>
        <v>-21.557699180877876</v>
      </c>
      <c r="Q98" s="1523">
        <f t="shared" si="65"/>
        <v>6.7043096289882049</v>
      </c>
      <c r="R98" s="582"/>
      <c r="S98" s="582"/>
      <c r="T98" s="19"/>
      <c r="U98" s="19"/>
      <c r="AB98" s="582"/>
      <c r="AC98" s="582"/>
      <c r="AD98" s="582"/>
    </row>
    <row r="99" spans="2:30" ht="15" customHeight="1">
      <c r="C99" s="688" t="str">
        <f>IF(Indice_index!$Z$1=1,"Outras despesas correntes","Other current expenditures")</f>
        <v>Other current expenditures</v>
      </c>
      <c r="D99" s="1353"/>
      <c r="E99" s="1550"/>
      <c r="F99" s="1353"/>
      <c r="G99" s="1523">
        <f t="shared" si="56"/>
        <v>20.58399141000001</v>
      </c>
      <c r="H99" s="1523">
        <f t="shared" si="57"/>
        <v>-2.3316482399999714</v>
      </c>
      <c r="I99" s="1523">
        <f t="shared" si="58"/>
        <v>14.422207956306856</v>
      </c>
      <c r="J99" s="1523">
        <f t="shared" si="59"/>
        <v>0.32840652999999964</v>
      </c>
      <c r="K99" s="1523">
        <f t="shared" si="60"/>
        <v>33.002957656306876</v>
      </c>
      <c r="L99" s="1523"/>
      <c r="M99" s="1523">
        <f t="shared" si="61"/>
        <v>13.459043762466658</v>
      </c>
      <c r="N99" s="1523">
        <f t="shared" si="62"/>
        <v>-4.831106695783058</v>
      </c>
      <c r="O99" s="1523">
        <f t="shared" si="63"/>
        <v>32.505043078629491</v>
      </c>
      <c r="P99" s="1523">
        <f t="shared" si="64"/>
        <v>7.5467970186157611</v>
      </c>
      <c r="Q99" s="1523">
        <f t="shared" si="65"/>
        <v>13.205304898342568</v>
      </c>
      <c r="R99" s="582"/>
      <c r="S99" s="582"/>
      <c r="T99" s="19"/>
      <c r="U99" s="19"/>
      <c r="AB99" s="582"/>
      <c r="AC99" s="582"/>
      <c r="AD99" s="582"/>
    </row>
    <row r="100" spans="2:30" s="559" customFormat="1" ht="15" customHeight="1">
      <c r="C100" s="688" t="str">
        <f>IF(Indice_index!$Z$1=1,"Diferenças de consolidação","Consolidation differences")</f>
        <v>Consolidation differences</v>
      </c>
      <c r="D100" s="320"/>
      <c r="E100" s="320"/>
      <c r="F100" s="320"/>
      <c r="G100" s="1523">
        <f t="shared" si="56"/>
        <v>-15.449221370000004</v>
      </c>
      <c r="H100" s="1523">
        <f t="shared" si="57"/>
        <v>9.6284230400010529</v>
      </c>
      <c r="I100" s="1523">
        <f t="shared" si="58"/>
        <v>0</v>
      </c>
      <c r="J100" s="1523">
        <f t="shared" si="59"/>
        <v>0</v>
      </c>
      <c r="K100" s="1523">
        <f t="shared" si="60"/>
        <v>-5.8207983299989507</v>
      </c>
      <c r="L100" s="1523"/>
      <c r="M100" s="1545" t="s">
        <v>3</v>
      </c>
      <c r="N100" s="1545" t="s">
        <v>3</v>
      </c>
      <c r="O100" s="1545" t="s">
        <v>3</v>
      </c>
      <c r="P100" s="1545" t="s">
        <v>3</v>
      </c>
      <c r="Q100" s="1545" t="s">
        <v>3</v>
      </c>
      <c r="R100" s="581"/>
      <c r="S100" s="581"/>
      <c r="T100" s="560"/>
      <c r="U100" s="560"/>
      <c r="V100" s="560"/>
      <c r="W100" s="560"/>
      <c r="X100" s="560"/>
      <c r="Y100" s="560"/>
      <c r="Z100" s="560"/>
      <c r="AA100" s="560"/>
      <c r="AB100" s="581"/>
      <c r="AC100" s="581"/>
      <c r="AD100" s="581"/>
    </row>
    <row r="101" spans="2:30" ht="15" customHeight="1">
      <c r="C101" s="320" t="str">
        <f>IF(Indice_index!$Z$1=1,"Despesa de capital","Capital expenditure")</f>
        <v>Capital expenditure</v>
      </c>
      <c r="D101" s="1353"/>
      <c r="E101" s="688"/>
      <c r="F101" s="1353"/>
      <c r="G101" s="1542">
        <f t="shared" si="56"/>
        <v>134.18120624999995</v>
      </c>
      <c r="H101" s="1542">
        <f t="shared" si="57"/>
        <v>-48.890642920000118</v>
      </c>
      <c r="I101" s="1542">
        <f t="shared" si="58"/>
        <v>-27.953526582118684</v>
      </c>
      <c r="J101" s="1542">
        <f t="shared" si="59"/>
        <v>-6.5328081300000012</v>
      </c>
      <c r="K101" s="1542">
        <f t="shared" si="60"/>
        <v>26.831130427881817</v>
      </c>
      <c r="L101" s="1542"/>
      <c r="M101" s="1542">
        <f t="shared" ref="M101:Q106" si="66">IF(IFERROR((M42-G42)/G42*100,"")&gt;500,"-",IFERROR((M42-G42)/G42*100,""))</f>
        <v>17.657431049257731</v>
      </c>
      <c r="N101" s="1542">
        <f t="shared" si="66"/>
        <v>-3.7455307490139913</v>
      </c>
      <c r="O101" s="1542">
        <f t="shared" si="66"/>
        <v>-2.6769371037076453</v>
      </c>
      <c r="P101" s="1542">
        <f t="shared" si="66"/>
        <v>-59.425822230883171</v>
      </c>
      <c r="Q101" s="1542">
        <f t="shared" si="66"/>
        <v>1.0737018083629928</v>
      </c>
      <c r="R101" s="582"/>
      <c r="S101" s="582"/>
      <c r="T101" s="19"/>
      <c r="U101" s="19"/>
      <c r="AB101" s="582"/>
      <c r="AC101" s="582"/>
      <c r="AD101" s="582"/>
    </row>
    <row r="102" spans="2:30" ht="15" customHeight="1">
      <c r="C102" s="688" t="str">
        <f>IF(Indice_index!$Z$1=1,"Investimentos","Investments")</f>
        <v>Investments</v>
      </c>
      <c r="D102" s="1353"/>
      <c r="E102" s="688"/>
      <c r="F102" s="1353"/>
      <c r="G102" s="1523">
        <f t="shared" si="56"/>
        <v>124.18641063000003</v>
      </c>
      <c r="H102" s="1523">
        <f t="shared" si="57"/>
        <v>-3.1272881200000029</v>
      </c>
      <c r="I102" s="1523">
        <f t="shared" si="58"/>
        <v>-34.864466140656418</v>
      </c>
      <c r="J102" s="1523">
        <f t="shared" si="59"/>
        <v>-6.4284183400000003</v>
      </c>
      <c r="K102" s="1523">
        <f t="shared" si="60"/>
        <v>79.76623802934364</v>
      </c>
      <c r="L102" s="1523"/>
      <c r="M102" s="1523">
        <f t="shared" si="66"/>
        <v>101.85740028106838</v>
      </c>
      <c r="N102" s="1523">
        <f t="shared" si="66"/>
        <v>-0.3036205695685808</v>
      </c>
      <c r="O102" s="1523">
        <f t="shared" si="66"/>
        <v>-3.9722589296538859</v>
      </c>
      <c r="P102" s="1523">
        <f t="shared" si="66"/>
        <v>-60.106386579508531</v>
      </c>
      <c r="Q102" s="1523">
        <f t="shared" si="66"/>
        <v>3.9095071903951255</v>
      </c>
      <c r="R102" s="582"/>
      <c r="S102" s="582"/>
      <c r="T102" s="19"/>
      <c r="U102" s="19"/>
      <c r="AB102" s="582"/>
      <c r="AC102" s="582"/>
      <c r="AD102" s="582"/>
    </row>
    <row r="103" spans="2:30" ht="15" customHeight="1">
      <c r="C103" s="688" t="str">
        <f>IF(Indice_index!$Z$1=1,"Transferências de capital","Capital transfers")</f>
        <v>Capital transfers</v>
      </c>
      <c r="D103" s="1353"/>
      <c r="E103" s="688"/>
      <c r="F103" s="1353"/>
      <c r="G103" s="1523">
        <f t="shared" si="56"/>
        <v>11.937553550000075</v>
      </c>
      <c r="H103" s="1523">
        <f t="shared" si="57"/>
        <v>-65.26433432999994</v>
      </c>
      <c r="I103" s="1523">
        <f t="shared" si="58"/>
        <v>8.1778538378267456</v>
      </c>
      <c r="J103" s="1523">
        <f t="shared" si="59"/>
        <v>-0.10438979000000001</v>
      </c>
      <c r="K103" s="1523">
        <f t="shared" si="60"/>
        <v>-71.984627152173232</v>
      </c>
      <c r="L103" s="1523"/>
      <c r="M103" s="1523">
        <f t="shared" si="66"/>
        <v>1.8848759622104823</v>
      </c>
      <c r="N103" s="1523">
        <f t="shared" si="66"/>
        <v>-24.347513112544544</v>
      </c>
      <c r="O103" s="1523">
        <f t="shared" si="66"/>
        <v>5.0344008012243284</v>
      </c>
      <c r="P103" s="1523">
        <f t="shared" si="66"/>
        <v>-35.012800711057452</v>
      </c>
      <c r="Q103" s="1523">
        <f t="shared" si="66"/>
        <v>-16.263552609530681</v>
      </c>
      <c r="R103" s="582"/>
      <c r="S103" s="582"/>
      <c r="T103" s="19"/>
      <c r="U103" s="19"/>
      <c r="AB103" s="582"/>
      <c r="AC103" s="582"/>
      <c r="AD103" s="582"/>
    </row>
    <row r="104" spans="2:30" ht="15" customHeight="1">
      <c r="C104" s="1522" t="str">
        <f>IF(Indice_index!$Z$1=1,"Administrações Públicas","General Government subsectors")</f>
        <v>General Government subsectors</v>
      </c>
      <c r="D104" s="1353"/>
      <c r="E104" s="688"/>
      <c r="F104" s="1353"/>
      <c r="G104" s="1523">
        <f t="shared" si="56"/>
        <v>18.030247150000037</v>
      </c>
      <c r="H104" s="1523">
        <f t="shared" si="57"/>
        <v>6.9670180499999983</v>
      </c>
      <c r="I104" s="1523">
        <f t="shared" si="58"/>
        <v>1.7340452200000041</v>
      </c>
      <c r="J104" s="1523">
        <f t="shared" si="59"/>
        <v>0</v>
      </c>
      <c r="K104" s="1523">
        <f t="shared" si="60"/>
        <v>0</v>
      </c>
      <c r="L104" s="1523"/>
      <c r="M104" s="1523">
        <f t="shared" si="66"/>
        <v>2.9728312389354601</v>
      </c>
      <c r="N104" s="1523">
        <f t="shared" si="66"/>
        <v>61.362491737982886</v>
      </c>
      <c r="O104" s="1523">
        <f t="shared" si="66"/>
        <v>47.420626784412796</v>
      </c>
      <c r="P104" s="1523" t="str">
        <f t="shared" si="66"/>
        <v>-</v>
      </c>
      <c r="Q104" s="1523" t="str">
        <f t="shared" si="66"/>
        <v>-</v>
      </c>
      <c r="R104" s="582"/>
      <c r="S104" s="582"/>
      <c r="T104" s="19"/>
      <c r="U104" s="19"/>
      <c r="AB104" s="582"/>
      <c r="AC104" s="582"/>
      <c r="AD104" s="582"/>
    </row>
    <row r="105" spans="2:30" ht="15" customHeight="1">
      <c r="C105" s="1522" t="str">
        <f>IF(Indice_index!$Z$1=1,"Outras","Others")</f>
        <v>Others</v>
      </c>
      <c r="D105" s="1353"/>
      <c r="E105" s="688"/>
      <c r="F105" s="1353"/>
      <c r="G105" s="1523">
        <f t="shared" si="56"/>
        <v>-6.0926936000000005</v>
      </c>
      <c r="H105" s="1523">
        <f t="shared" si="57"/>
        <v>-72.231352379999947</v>
      </c>
      <c r="I105" s="1523">
        <f t="shared" si="58"/>
        <v>6.4438086178267611</v>
      </c>
      <c r="J105" s="1523">
        <f t="shared" si="59"/>
        <v>-0.10438979000000001</v>
      </c>
      <c r="K105" s="1523">
        <f t="shared" si="60"/>
        <v>-71.984627152173232</v>
      </c>
      <c r="L105" s="1523"/>
      <c r="M105" s="1523">
        <f t="shared" si="66"/>
        <v>-22.706161656742697</v>
      </c>
      <c r="N105" s="1523">
        <f t="shared" si="66"/>
        <v>-28.138483684916338</v>
      </c>
      <c r="O105" s="1523">
        <f t="shared" si="66"/>
        <v>4.0582552056499406</v>
      </c>
      <c r="P105" s="1523">
        <f t="shared" si="66"/>
        <v>-35.012800711057452</v>
      </c>
      <c r="Q105" s="1523">
        <f t="shared" si="66"/>
        <v>-16.263552609530681</v>
      </c>
      <c r="R105" s="582"/>
      <c r="S105" s="582"/>
      <c r="T105" s="19"/>
      <c r="U105" s="19"/>
      <c r="AB105" s="582"/>
      <c r="AC105" s="582"/>
      <c r="AD105" s="582"/>
    </row>
    <row r="106" spans="2:30" ht="15" customHeight="1">
      <c r="C106" s="688" t="str">
        <f>IF(Indice_index!$Z$1=1,"Outras despesas de capital","Other capital expenditures")</f>
        <v>Other capital expenditures</v>
      </c>
      <c r="D106" s="1353"/>
      <c r="E106" s="1550"/>
      <c r="F106" s="1353"/>
      <c r="G106" s="1523">
        <f t="shared" si="56"/>
        <v>-1.94275793</v>
      </c>
      <c r="H106" s="1523">
        <f t="shared" si="57"/>
        <v>12.112023199999999</v>
      </c>
      <c r="I106" s="1523">
        <f t="shared" si="58"/>
        <v>-1.2669142792888848</v>
      </c>
      <c r="J106" s="1523">
        <f t="shared" si="59"/>
        <v>0</v>
      </c>
      <c r="K106" s="1523">
        <f t="shared" si="60"/>
        <v>8.9023509907111116</v>
      </c>
      <c r="L106" s="1523"/>
      <c r="M106" s="1523">
        <f t="shared" si="66"/>
        <v>-41.707557026621046</v>
      </c>
      <c r="N106" s="1523">
        <f t="shared" si="66"/>
        <v>340.88809746512413</v>
      </c>
      <c r="O106" s="1523">
        <f t="shared" si="66"/>
        <v>-30.920955175237907</v>
      </c>
      <c r="P106" s="1523" t="str">
        <f t="shared" si="66"/>
        <v>-</v>
      </c>
      <c r="Q106" s="1523">
        <f t="shared" si="66"/>
        <v>72.327476383141985</v>
      </c>
      <c r="R106" s="582"/>
      <c r="S106" s="582"/>
      <c r="T106" s="19"/>
      <c r="U106" s="19"/>
      <c r="AB106" s="582"/>
      <c r="AC106" s="582"/>
      <c r="AD106" s="582"/>
    </row>
    <row r="107" spans="2:30" ht="15" customHeight="1">
      <c r="B107" s="570"/>
      <c r="C107" s="688" t="str">
        <f>IF(Indice_index!$Z$1=1,"Diferenças de consolidação","Consolidation differences")</f>
        <v>Consolidation differences</v>
      </c>
      <c r="D107" s="1353"/>
      <c r="E107" s="685"/>
      <c r="F107" s="1353"/>
      <c r="G107" s="1523">
        <f t="shared" si="56"/>
        <v>0</v>
      </c>
      <c r="H107" s="1523">
        <f t="shared" si="57"/>
        <v>7.3889563299999992</v>
      </c>
      <c r="I107" s="1523">
        <f t="shared" si="58"/>
        <v>0</v>
      </c>
      <c r="J107" s="1523">
        <f t="shared" si="59"/>
        <v>0</v>
      </c>
      <c r="K107" s="1523">
        <f t="shared" si="60"/>
        <v>10.147168560000139</v>
      </c>
      <c r="L107" s="1523"/>
      <c r="M107" s="1545" t="s">
        <v>3</v>
      </c>
      <c r="N107" s="1545" t="s">
        <v>3</v>
      </c>
      <c r="O107" s="1545" t="s">
        <v>3</v>
      </c>
      <c r="P107" s="1545" t="s">
        <v>3</v>
      </c>
      <c r="Q107" s="1545" t="s">
        <v>3</v>
      </c>
      <c r="R107" s="582"/>
      <c r="S107" s="582"/>
      <c r="T107" s="19"/>
      <c r="U107" s="19"/>
      <c r="AB107" s="582"/>
      <c r="AC107" s="582"/>
      <c r="AD107" s="582"/>
    </row>
    <row r="108" spans="2:30" s="559" customFormat="1" ht="4.5" customHeight="1">
      <c r="C108" s="685"/>
      <c r="D108" s="320"/>
      <c r="E108" s="320"/>
      <c r="F108" s="320"/>
      <c r="G108" s="1551"/>
      <c r="H108" s="1551"/>
      <c r="I108" s="1551"/>
      <c r="J108" s="1551"/>
      <c r="K108" s="1551"/>
      <c r="L108" s="1551"/>
      <c r="M108" s="1551"/>
      <c r="N108" s="1551"/>
      <c r="O108" s="1551"/>
      <c r="P108" s="1551"/>
      <c r="Q108" s="1551"/>
      <c r="R108" s="581"/>
      <c r="S108" s="581"/>
      <c r="T108" s="560"/>
      <c r="U108" s="560"/>
      <c r="V108" s="560"/>
      <c r="W108" s="560"/>
      <c r="X108" s="560"/>
      <c r="Y108" s="560"/>
      <c r="Z108" s="560"/>
      <c r="AA108" s="560"/>
      <c r="AB108" s="581"/>
      <c r="AC108" s="581"/>
      <c r="AD108" s="581"/>
    </row>
    <row r="109" spans="2:30" ht="15" customHeight="1">
      <c r="B109" s="570"/>
      <c r="C109" s="1496" t="str">
        <f>IF(Indice_index!$Z$1=1,"Despesa efetiva","Effective expenditure")</f>
        <v>Effective expenditure</v>
      </c>
      <c r="D109" s="1496"/>
      <c r="E109" s="1496"/>
      <c r="F109" s="1496"/>
      <c r="G109" s="1548">
        <f>M50-G50</f>
        <v>118.01378615000067</v>
      </c>
      <c r="H109" s="1548">
        <f>N50-H50</f>
        <v>340.53238128003431</v>
      </c>
      <c r="I109" s="1548">
        <f>O50-I50</f>
        <v>167.68922912154176</v>
      </c>
      <c r="J109" s="1548">
        <f>P50-J50</f>
        <v>-871.09311090999654</v>
      </c>
      <c r="K109" s="1548">
        <f>Q50-K50</f>
        <v>-200.88795706842211</v>
      </c>
      <c r="L109" s="1542"/>
      <c r="M109" s="1548">
        <f>IF(IFERROR((M50-G50)/G50*100,"")&gt;500,"-",IFERROR((M50-G50)/G50*100,""))</f>
        <v>0.5182087244322946</v>
      </c>
      <c r="N109" s="1548">
        <f>IF(IFERROR((N50-H50)/H50*100,"")&gt;500,"-",IFERROR((N50-H50)/H50*100,""))</f>
        <v>2.7213292146078052</v>
      </c>
      <c r="O109" s="1548">
        <f>IF(IFERROR((O50-I50)/I50*100,"")&gt;500,"-",IFERROR((O50-I50)/I50*100,""))</f>
        <v>3.6694470850201109</v>
      </c>
      <c r="P109" s="1548">
        <f>IF(IFERROR((P50-J50)/J50*100,"")&gt;500,"-",IFERROR((P50-J50)/J50*100,""))</f>
        <v>-7.0245644547299966</v>
      </c>
      <c r="Q109" s="1548">
        <f>IF(IFERROR((Q50-K50)/K50*100,"")&gt;500,"-",IFERROR((Q50-K50)/K50*100,""))</f>
        <v>-0.54405952088876475</v>
      </c>
      <c r="R109" s="582"/>
      <c r="S109" s="582"/>
      <c r="T109" s="19"/>
      <c r="U109" s="19"/>
      <c r="AB109" s="582"/>
      <c r="AC109" s="582"/>
      <c r="AD109" s="582"/>
    </row>
    <row r="110" spans="2:30" s="559" customFormat="1" ht="4.5" customHeight="1">
      <c r="C110" s="320"/>
      <c r="D110" s="1552"/>
      <c r="E110" s="688"/>
      <c r="F110" s="1552"/>
      <c r="G110" s="1553"/>
      <c r="H110" s="1553"/>
      <c r="I110" s="1553"/>
      <c r="J110" s="1553"/>
      <c r="K110" s="1553"/>
      <c r="L110" s="1554"/>
      <c r="M110" s="1553"/>
      <c r="N110" s="1553"/>
      <c r="O110" s="1553"/>
      <c r="P110" s="1553"/>
      <c r="Q110" s="1553"/>
      <c r="R110" s="581"/>
      <c r="S110" s="581"/>
      <c r="T110" s="560"/>
      <c r="U110" s="560"/>
      <c r="V110" s="560"/>
      <c r="W110" s="560"/>
      <c r="X110" s="560"/>
      <c r="Y110" s="560"/>
      <c r="Z110" s="560"/>
      <c r="AA110" s="560"/>
      <c r="AB110" s="581"/>
      <c r="AC110" s="581"/>
      <c r="AD110" s="581"/>
    </row>
    <row r="111" spans="2:30" ht="15" customHeight="1">
      <c r="C111" s="1496" t="str">
        <f>IF(Indice_index!$Z$1=1,"Saldo global","Overall balance")</f>
        <v>Overall balance</v>
      </c>
      <c r="D111" s="1496"/>
      <c r="E111" s="1496"/>
      <c r="F111" s="1496"/>
      <c r="G111" s="1548">
        <f t="shared" ref="G111:K115" si="67">M52-G52</f>
        <v>3226.1833270999996</v>
      </c>
      <c r="H111" s="1548">
        <f t="shared" si="67"/>
        <v>149.78993253997214</v>
      </c>
      <c r="I111" s="1548">
        <f t="shared" si="67"/>
        <v>62.815657705976264</v>
      </c>
      <c r="J111" s="1548">
        <f t="shared" si="67"/>
        <v>1744.2557221799962</v>
      </c>
      <c r="K111" s="1548">
        <f t="shared" si="67"/>
        <v>5183.0446395259532</v>
      </c>
      <c r="L111" s="1542"/>
      <c r="M111" s="1548"/>
      <c r="N111" s="1548"/>
      <c r="O111" s="1548"/>
      <c r="P111" s="1548"/>
      <c r="Q111" s="1548"/>
      <c r="R111" s="582"/>
      <c r="S111" s="582"/>
      <c r="T111" s="19"/>
      <c r="U111" s="19"/>
      <c r="AB111" s="582"/>
      <c r="AC111" s="582"/>
      <c r="AD111" s="582"/>
    </row>
    <row r="112" spans="2:30" ht="15" customHeight="1">
      <c r="C112" s="683" t="str">
        <f>IF(Indice_index!$Z$1=1,"Despesa primária","Primary expenditure")</f>
        <v>Primary expenditure</v>
      </c>
      <c r="D112" s="684"/>
      <c r="E112" s="683"/>
      <c r="F112" s="684"/>
      <c r="G112" s="1501">
        <f t="shared" si="67"/>
        <v>566.92507153999759</v>
      </c>
      <c r="H112" s="1501">
        <f t="shared" si="67"/>
        <v>438.08004759003416</v>
      </c>
      <c r="I112" s="1501">
        <f t="shared" si="67"/>
        <v>156.90956812448985</v>
      </c>
      <c r="J112" s="1501">
        <f t="shared" si="67"/>
        <v>-871.11993370999699</v>
      </c>
      <c r="K112" s="1501">
        <f t="shared" si="67"/>
        <v>249.60245366452</v>
      </c>
      <c r="L112" s="1501"/>
      <c r="M112" s="1523">
        <f>IF(IFERROR((M53-G53)/G53*100,"")&gt;500,"-",IFERROR((M53-G53)/G53*100,""))</f>
        <v>2.9038654920246021</v>
      </c>
      <c r="N112" s="1523">
        <f>IF(IFERROR((N53-H53)/H53*100,"")&gt;500,"-",IFERROR((N53-H53)/H53*100,""))</f>
        <v>3.5493551361793605</v>
      </c>
      <c r="O112" s="1523">
        <f>IF(IFERROR((O53-I53)/I53*100,"")&gt;500,"-",IFERROR((O53-I53)/I53*100,""))</f>
        <v>3.4702879989307593</v>
      </c>
      <c r="P112" s="1523">
        <f>IF(IFERROR((P53-J53)/J53*100,"")&gt;500,"-",IFERROR((P53-J53)/J53*100,""))</f>
        <v>-7.0263066926697748</v>
      </c>
      <c r="Q112" s="1523">
        <f>IF(IFERROR((Q53-K53)/K53*100,"")&gt;500,"-",IFERROR((Q53-K53)/K53*100,""))</f>
        <v>0.74361303678627144</v>
      </c>
      <c r="R112" s="582"/>
      <c r="S112" s="582"/>
      <c r="T112" s="19"/>
      <c r="U112" s="19"/>
      <c r="AB112" s="582"/>
      <c r="AC112" s="582"/>
      <c r="AD112" s="582"/>
    </row>
    <row r="113" spans="2:30" ht="15" customHeight="1">
      <c r="C113" s="683" t="str">
        <f>IF(Indice_index!$Z$1=1,"Saldo corrente","Current balance")</f>
        <v>Current balance</v>
      </c>
      <c r="D113" s="684"/>
      <c r="E113" s="683"/>
      <c r="F113" s="684"/>
      <c r="G113" s="1501">
        <f t="shared" si="67"/>
        <v>3141.1306837899974</v>
      </c>
      <c r="H113" s="1501">
        <f t="shared" si="67"/>
        <v>27.698403799973676</v>
      </c>
      <c r="I113" s="1501">
        <f t="shared" si="67"/>
        <v>173.73785504034777</v>
      </c>
      <c r="J113" s="1501">
        <f t="shared" si="67"/>
        <v>1737.5559885999974</v>
      </c>
      <c r="K113" s="1501">
        <f t="shared" si="67"/>
        <v>5080.1229312303221</v>
      </c>
      <c r="L113" s="1501"/>
      <c r="M113" s="1501"/>
      <c r="N113" s="1501"/>
      <c r="O113" s="1501"/>
      <c r="P113" s="1501"/>
      <c r="Q113" s="1501"/>
      <c r="R113" s="582"/>
      <c r="S113" s="582"/>
      <c r="T113" s="19"/>
      <c r="U113" s="19"/>
      <c r="AB113" s="582"/>
      <c r="AC113" s="582"/>
      <c r="AD113" s="582"/>
    </row>
    <row r="114" spans="2:30" ht="15" customHeight="1">
      <c r="B114" s="20"/>
      <c r="C114" s="683" t="str">
        <f>IF(Indice_index!$Z$1=1,"Saldo de capital","Capital balance")</f>
        <v>Capital balance</v>
      </c>
      <c r="D114" s="180"/>
      <c r="E114" s="683"/>
      <c r="F114" s="180"/>
      <c r="G114" s="1523">
        <f t="shared" si="67"/>
        <v>85.052643310000008</v>
      </c>
      <c r="H114" s="1523">
        <f t="shared" si="67"/>
        <v>122.09152874000006</v>
      </c>
      <c r="I114" s="1523">
        <f t="shared" si="67"/>
        <v>-110.92219733437048</v>
      </c>
      <c r="J114" s="1523">
        <f t="shared" si="67"/>
        <v>6.6997335800000011</v>
      </c>
      <c r="K114" s="1523">
        <f t="shared" si="67"/>
        <v>102.92170829562883</v>
      </c>
      <c r="L114" s="1523"/>
      <c r="M114" s="1523"/>
      <c r="N114" s="1523"/>
      <c r="O114" s="1523"/>
      <c r="P114" s="1523"/>
      <c r="Q114" s="1523"/>
      <c r="R114" s="582"/>
      <c r="S114" s="582"/>
      <c r="T114" s="19"/>
      <c r="U114" s="19"/>
      <c r="AB114" s="582"/>
      <c r="AC114" s="582"/>
      <c r="AD114" s="582"/>
    </row>
    <row r="115" spans="2:30" ht="15" customHeight="1">
      <c r="C115" s="1502" t="str">
        <f>IF(Indice_index!$Z$1=1,"Saldo primário","Primary balance")</f>
        <v>Primary balance</v>
      </c>
      <c r="D115" s="1503"/>
      <c r="E115" s="1502"/>
      <c r="F115" s="1503"/>
      <c r="G115" s="1503">
        <f t="shared" si="67"/>
        <v>2777.2720417100027</v>
      </c>
      <c r="H115" s="1503">
        <f t="shared" si="67"/>
        <v>52.242266229972302</v>
      </c>
      <c r="I115" s="1503">
        <f t="shared" si="67"/>
        <v>73.59531870302817</v>
      </c>
      <c r="J115" s="1503">
        <f t="shared" si="67"/>
        <v>1744.2825449799966</v>
      </c>
      <c r="K115" s="1503">
        <f t="shared" si="67"/>
        <v>4732.5542287930111</v>
      </c>
      <c r="L115" s="1503"/>
      <c r="M115" s="1503"/>
      <c r="N115" s="1503"/>
      <c r="O115" s="1503"/>
      <c r="P115" s="1503"/>
      <c r="Q115" s="1503"/>
      <c r="R115" s="582"/>
      <c r="S115" s="582"/>
      <c r="T115" s="19"/>
      <c r="U115" s="19"/>
      <c r="AB115" s="582"/>
      <c r="AC115" s="582"/>
      <c r="AD115" s="582"/>
    </row>
    <row r="116" spans="2:30" ht="4.5" customHeight="1">
      <c r="C116" s="1634"/>
      <c r="D116" s="1634"/>
      <c r="E116" s="1634"/>
      <c r="F116" s="1634"/>
      <c r="G116" s="1634"/>
      <c r="H116" s="1634"/>
      <c r="I116" s="1634"/>
      <c r="J116" s="1634"/>
      <c r="K116" s="1634"/>
      <c r="L116" s="1634"/>
      <c r="M116" s="1634"/>
      <c r="N116" s="1634"/>
      <c r="O116" s="1634"/>
      <c r="P116" s="1634"/>
      <c r="Q116" s="1634"/>
      <c r="V116" s="17"/>
      <c r="W116" s="17"/>
      <c r="X116" s="17"/>
      <c r="Y116" s="17"/>
      <c r="Z116" s="17"/>
      <c r="AA116" s="17"/>
      <c r="AB116" s="562"/>
      <c r="AC116" s="562"/>
    </row>
    <row r="117" spans="2:30" ht="15" customHeight="1">
      <c r="C117" s="1555" t="str">
        <f>IF(Indice_index!$Z$1=1,"Fonte: Direção-Geral do Orçamento","Source: Budget General Directorate")</f>
        <v>Source: Budget General Directorate</v>
      </c>
      <c r="D117" s="1556"/>
      <c r="E117" s="1555"/>
      <c r="F117" s="1556"/>
      <c r="G117" s="593"/>
      <c r="H117" s="593"/>
      <c r="I117" s="593"/>
      <c r="J117" s="593"/>
      <c r="K117" s="593"/>
      <c r="L117" s="595"/>
      <c r="M117" s="593"/>
      <c r="N117" s="593"/>
      <c r="O117" s="593"/>
      <c r="P117" s="593"/>
      <c r="Q117" s="593"/>
      <c r="T117" s="19"/>
      <c r="U117" s="19"/>
      <c r="AB117" s="17"/>
      <c r="AC117" s="17"/>
    </row>
    <row r="118" spans="2:30">
      <c r="C118" s="594"/>
      <c r="D118" s="593"/>
      <c r="E118" s="594"/>
      <c r="F118" s="593"/>
      <c r="G118" s="596"/>
      <c r="H118" s="596"/>
      <c r="I118" s="596"/>
      <c r="J118" s="596"/>
      <c r="K118" s="596"/>
      <c r="L118" s="595"/>
      <c r="M118" s="597"/>
      <c r="N118" s="597"/>
      <c r="O118" s="597"/>
      <c r="P118" s="597"/>
      <c r="Q118" s="597"/>
      <c r="T118" s="19"/>
      <c r="U118" s="19"/>
      <c r="AB118" s="17"/>
      <c r="AC118" s="17"/>
    </row>
    <row r="119" spans="2:30">
      <c r="C119" s="593"/>
      <c r="D119" s="593"/>
      <c r="E119" s="593"/>
      <c r="F119" s="593"/>
      <c r="G119" s="596"/>
      <c r="H119" s="596"/>
      <c r="I119" s="596"/>
      <c r="J119" s="596"/>
      <c r="K119" s="596"/>
      <c r="L119" s="595"/>
      <c r="M119" s="597"/>
      <c r="N119" s="597"/>
      <c r="O119" s="597"/>
      <c r="P119" s="597"/>
      <c r="Q119" s="597"/>
      <c r="T119" s="19"/>
      <c r="U119" s="19"/>
      <c r="AB119" s="17"/>
      <c r="AC119" s="17"/>
    </row>
    <row r="120" spans="2:30">
      <c r="C120" s="593"/>
      <c r="D120" s="593"/>
      <c r="E120" s="593"/>
      <c r="F120" s="593"/>
      <c r="G120" s="596"/>
      <c r="H120" s="596"/>
      <c r="I120" s="596"/>
      <c r="J120" s="596"/>
      <c r="K120" s="596"/>
      <c r="L120" s="598"/>
      <c r="M120" s="597"/>
      <c r="N120" s="597"/>
      <c r="O120" s="597"/>
      <c r="P120" s="597"/>
      <c r="Q120" s="597"/>
      <c r="T120" s="19"/>
      <c r="U120" s="19"/>
      <c r="AB120" s="17"/>
      <c r="AC120" s="17"/>
    </row>
    <row r="121" spans="2:30">
      <c r="C121" s="593"/>
      <c r="D121" s="593"/>
      <c r="E121" s="593"/>
      <c r="F121" s="593"/>
      <c r="G121" s="596"/>
      <c r="H121" s="596"/>
      <c r="I121" s="596"/>
      <c r="J121" s="596"/>
      <c r="K121" s="596"/>
      <c r="L121" s="598"/>
      <c r="M121" s="597"/>
      <c r="N121" s="597"/>
      <c r="O121" s="597"/>
      <c r="P121" s="597"/>
      <c r="Q121" s="597"/>
      <c r="T121" s="19"/>
      <c r="U121" s="19"/>
      <c r="AB121" s="17"/>
      <c r="AC121" s="17"/>
    </row>
    <row r="122" spans="2:30">
      <c r="C122" s="593"/>
      <c r="D122" s="593"/>
      <c r="E122" s="593"/>
      <c r="F122" s="593"/>
      <c r="G122" s="596"/>
      <c r="H122" s="596"/>
      <c r="I122" s="596"/>
      <c r="J122" s="596"/>
      <c r="K122" s="596"/>
      <c r="L122" s="598"/>
      <c r="M122" s="597"/>
      <c r="N122" s="597"/>
      <c r="O122" s="597"/>
      <c r="P122" s="597"/>
      <c r="Q122" s="597"/>
      <c r="T122" s="19"/>
      <c r="U122" s="19"/>
      <c r="AB122" s="17"/>
      <c r="AC122" s="17"/>
    </row>
    <row r="123" spans="2:30">
      <c r="C123" s="593"/>
      <c r="D123" s="593"/>
      <c r="E123" s="593"/>
      <c r="F123" s="593"/>
      <c r="G123" s="596"/>
      <c r="H123" s="596"/>
      <c r="I123" s="596"/>
      <c r="J123" s="596"/>
      <c r="K123" s="596"/>
      <c r="L123" s="598"/>
      <c r="M123" s="597"/>
      <c r="N123" s="597"/>
      <c r="O123" s="597"/>
      <c r="P123" s="597"/>
      <c r="Q123" s="597"/>
      <c r="T123" s="19"/>
      <c r="U123" s="19"/>
      <c r="AB123" s="17"/>
      <c r="AC123" s="17"/>
    </row>
    <row r="124" spans="2:30">
      <c r="C124" s="593"/>
      <c r="D124" s="593"/>
      <c r="E124" s="593"/>
      <c r="F124" s="593"/>
      <c r="G124" s="596"/>
      <c r="H124" s="596"/>
      <c r="I124" s="596"/>
      <c r="J124" s="596"/>
      <c r="K124" s="596"/>
      <c r="L124" s="598"/>
      <c r="M124" s="597"/>
      <c r="N124" s="597"/>
      <c r="O124" s="597"/>
      <c r="P124" s="597"/>
      <c r="Q124" s="597"/>
      <c r="T124" s="19"/>
      <c r="U124" s="19"/>
      <c r="AB124" s="17"/>
      <c r="AC124" s="17"/>
    </row>
    <row r="125" spans="2:30">
      <c r="C125" s="593"/>
      <c r="D125" s="593"/>
      <c r="E125" s="593"/>
      <c r="F125" s="593"/>
      <c r="G125" s="596"/>
      <c r="H125" s="596"/>
      <c r="I125" s="596"/>
      <c r="J125" s="596"/>
      <c r="K125" s="596"/>
      <c r="L125" s="598"/>
      <c r="M125" s="597"/>
      <c r="N125" s="597"/>
      <c r="O125" s="597"/>
      <c r="P125" s="597"/>
      <c r="Q125" s="597"/>
      <c r="T125" s="19"/>
      <c r="U125" s="19"/>
      <c r="AB125" s="17"/>
      <c r="AC125" s="17"/>
    </row>
    <row r="126" spans="2:30">
      <c r="C126" s="593"/>
      <c r="D126" s="593"/>
      <c r="E126" s="593"/>
      <c r="F126" s="593"/>
      <c r="G126" s="596"/>
      <c r="H126" s="596"/>
      <c r="I126" s="596"/>
      <c r="J126" s="596"/>
      <c r="K126" s="596"/>
      <c r="L126" s="595"/>
      <c r="M126" s="597"/>
      <c r="N126" s="597"/>
      <c r="O126" s="597"/>
      <c r="P126" s="597"/>
      <c r="Q126" s="597"/>
      <c r="T126" s="19"/>
      <c r="U126" s="19"/>
      <c r="AB126" s="17"/>
      <c r="AC126" s="17"/>
    </row>
    <row r="127" spans="2:30">
      <c r="C127" s="593"/>
      <c r="D127" s="593"/>
      <c r="E127" s="593"/>
      <c r="F127" s="593"/>
      <c r="G127" s="596"/>
      <c r="H127" s="596"/>
      <c r="I127" s="596"/>
      <c r="J127" s="596"/>
      <c r="K127" s="596"/>
      <c r="L127" s="595"/>
      <c r="M127" s="597"/>
      <c r="N127" s="597"/>
      <c r="O127" s="597"/>
      <c r="P127" s="597"/>
      <c r="Q127" s="597"/>
      <c r="T127" s="19"/>
      <c r="U127" s="19"/>
      <c r="AB127" s="17"/>
      <c r="AC127" s="17"/>
    </row>
    <row r="128" spans="2:30">
      <c r="C128" s="593"/>
      <c r="D128" s="593"/>
      <c r="E128" s="593"/>
      <c r="F128" s="593"/>
      <c r="G128" s="596"/>
      <c r="H128" s="596"/>
      <c r="I128" s="596"/>
      <c r="J128" s="596"/>
      <c r="K128" s="596"/>
      <c r="L128" s="595"/>
      <c r="M128" s="597"/>
      <c r="N128" s="597"/>
      <c r="O128" s="597"/>
      <c r="P128" s="597"/>
      <c r="Q128" s="597"/>
      <c r="T128" s="19"/>
      <c r="U128" s="19"/>
      <c r="AB128" s="17"/>
      <c r="AC128" s="17"/>
    </row>
    <row r="129" spans="3:29">
      <c r="C129" s="593"/>
      <c r="D129" s="593"/>
      <c r="E129" s="593"/>
      <c r="F129" s="593"/>
      <c r="G129" s="596"/>
      <c r="H129" s="596"/>
      <c r="I129" s="596"/>
      <c r="J129" s="596"/>
      <c r="K129" s="596"/>
      <c r="L129" s="595"/>
      <c r="M129" s="597"/>
      <c r="N129" s="597"/>
      <c r="O129" s="597"/>
      <c r="P129" s="597"/>
      <c r="Q129" s="597"/>
      <c r="T129" s="19"/>
      <c r="U129" s="19"/>
      <c r="AB129" s="17"/>
      <c r="AC129" s="17"/>
    </row>
    <row r="130" spans="3:29">
      <c r="C130" s="593"/>
      <c r="D130" s="593"/>
      <c r="E130" s="593"/>
      <c r="F130" s="593"/>
      <c r="G130" s="596"/>
      <c r="H130" s="596"/>
      <c r="I130" s="596"/>
      <c r="J130" s="596"/>
      <c r="K130" s="596"/>
      <c r="L130" s="595"/>
      <c r="M130" s="597"/>
      <c r="N130" s="597"/>
      <c r="O130" s="597"/>
      <c r="P130" s="597"/>
      <c r="Q130" s="597"/>
      <c r="T130" s="19"/>
      <c r="U130" s="19"/>
      <c r="AB130" s="17"/>
      <c r="AC130" s="17"/>
    </row>
    <row r="131" spans="3:29">
      <c r="C131" s="593"/>
      <c r="D131" s="593"/>
      <c r="E131" s="593"/>
      <c r="F131" s="593"/>
      <c r="G131" s="596"/>
      <c r="H131" s="596"/>
      <c r="I131" s="596"/>
      <c r="J131" s="596"/>
      <c r="K131" s="596"/>
      <c r="L131" s="595"/>
      <c r="M131" s="597"/>
      <c r="N131" s="597"/>
      <c r="O131" s="597"/>
      <c r="P131" s="597"/>
      <c r="Q131" s="597"/>
      <c r="T131" s="19"/>
      <c r="U131" s="19"/>
      <c r="AB131" s="17"/>
      <c r="AC131" s="17"/>
    </row>
    <row r="132" spans="3:29">
      <c r="C132" s="593"/>
      <c r="D132" s="593"/>
      <c r="E132" s="593"/>
      <c r="F132" s="593"/>
      <c r="G132" s="596"/>
      <c r="H132" s="596"/>
      <c r="I132" s="596"/>
      <c r="J132" s="596"/>
      <c r="K132" s="596"/>
      <c r="L132" s="595"/>
      <c r="M132" s="597"/>
      <c r="N132" s="597"/>
      <c r="O132" s="597"/>
      <c r="P132" s="597"/>
      <c r="Q132" s="597"/>
      <c r="T132" s="19"/>
      <c r="U132" s="19"/>
      <c r="AB132" s="17"/>
      <c r="AC132" s="17"/>
    </row>
    <row r="133" spans="3:29">
      <c r="C133" s="593"/>
      <c r="D133" s="593"/>
      <c r="E133" s="593"/>
      <c r="F133" s="593"/>
      <c r="G133" s="596"/>
      <c r="H133" s="596"/>
      <c r="I133" s="596"/>
      <c r="J133" s="596"/>
      <c r="K133" s="596"/>
      <c r="L133" s="595"/>
      <c r="M133" s="597"/>
      <c r="N133" s="597"/>
      <c r="O133" s="597"/>
      <c r="P133" s="597"/>
      <c r="Q133" s="597"/>
      <c r="T133" s="19"/>
      <c r="U133" s="19"/>
      <c r="AB133" s="17"/>
      <c r="AC133" s="17"/>
    </row>
    <row r="134" spans="3:29">
      <c r="C134" s="593"/>
      <c r="D134" s="593"/>
      <c r="E134" s="593"/>
      <c r="F134" s="593"/>
      <c r="G134" s="596"/>
      <c r="H134" s="596"/>
      <c r="I134" s="596"/>
      <c r="J134" s="596"/>
      <c r="K134" s="596"/>
      <c r="L134" s="595"/>
      <c r="M134" s="597"/>
      <c r="N134" s="597"/>
      <c r="O134" s="597"/>
      <c r="P134" s="597"/>
      <c r="Q134" s="597"/>
      <c r="T134" s="19"/>
      <c r="U134" s="19"/>
      <c r="AB134" s="17"/>
      <c r="AC134" s="17"/>
    </row>
    <row r="135" spans="3:29">
      <c r="C135" s="593"/>
      <c r="D135" s="593"/>
      <c r="E135" s="593"/>
      <c r="F135" s="593"/>
      <c r="G135" s="596"/>
      <c r="H135" s="596"/>
      <c r="I135" s="596"/>
      <c r="J135" s="596"/>
      <c r="K135" s="596"/>
      <c r="L135" s="595"/>
      <c r="M135" s="597"/>
      <c r="N135" s="597"/>
      <c r="O135" s="597"/>
      <c r="P135" s="597"/>
      <c r="Q135" s="597"/>
      <c r="T135" s="19"/>
      <c r="U135" s="19"/>
      <c r="AB135" s="17"/>
      <c r="AC135" s="17"/>
    </row>
    <row r="136" spans="3:29">
      <c r="C136" s="593"/>
      <c r="D136" s="593"/>
      <c r="E136" s="593"/>
      <c r="F136" s="593"/>
      <c r="G136" s="596"/>
      <c r="H136" s="596"/>
      <c r="I136" s="596"/>
      <c r="J136" s="596"/>
      <c r="K136" s="596"/>
      <c r="L136" s="595"/>
      <c r="M136" s="597"/>
      <c r="N136" s="597"/>
      <c r="O136" s="597"/>
      <c r="P136" s="597"/>
      <c r="Q136" s="597"/>
      <c r="T136" s="19"/>
      <c r="U136" s="19"/>
      <c r="AB136" s="17"/>
      <c r="AC136" s="17"/>
    </row>
    <row r="137" spans="3:29">
      <c r="C137" s="593"/>
      <c r="D137" s="593"/>
      <c r="E137" s="593"/>
      <c r="F137" s="593"/>
      <c r="G137" s="596"/>
      <c r="H137" s="596"/>
      <c r="I137" s="596"/>
      <c r="J137" s="596"/>
      <c r="K137" s="596"/>
      <c r="L137" s="595"/>
      <c r="M137" s="597"/>
      <c r="N137" s="597"/>
      <c r="O137" s="597"/>
      <c r="P137" s="597"/>
      <c r="Q137" s="597"/>
      <c r="T137" s="19"/>
      <c r="U137" s="19"/>
      <c r="AB137" s="17"/>
      <c r="AC137" s="17"/>
    </row>
    <row r="138" spans="3:29">
      <c r="C138" s="593"/>
      <c r="D138" s="593"/>
      <c r="E138" s="593"/>
      <c r="F138" s="593"/>
      <c r="G138" s="596"/>
      <c r="H138" s="596"/>
      <c r="I138" s="596"/>
      <c r="J138" s="596"/>
      <c r="K138" s="596"/>
      <c r="L138" s="595"/>
      <c r="M138" s="597"/>
      <c r="N138" s="597"/>
      <c r="O138" s="597"/>
      <c r="P138" s="597"/>
      <c r="Q138" s="597"/>
      <c r="T138" s="19"/>
      <c r="U138" s="19"/>
      <c r="AB138" s="17"/>
      <c r="AC138" s="17"/>
    </row>
    <row r="139" spans="3:29">
      <c r="C139" s="593"/>
      <c r="D139" s="593"/>
      <c r="E139" s="593"/>
      <c r="F139" s="593"/>
      <c r="G139" s="596"/>
      <c r="H139" s="596"/>
      <c r="I139" s="596"/>
      <c r="J139" s="596"/>
      <c r="K139" s="596"/>
      <c r="L139" s="595"/>
      <c r="M139" s="597"/>
      <c r="N139" s="597"/>
      <c r="O139" s="597"/>
      <c r="P139" s="597"/>
      <c r="Q139" s="597"/>
      <c r="T139" s="19"/>
      <c r="U139" s="19"/>
      <c r="AB139" s="17"/>
      <c r="AC139" s="17"/>
    </row>
    <row r="140" spans="3:29">
      <c r="C140" s="593"/>
      <c r="D140" s="593"/>
      <c r="E140" s="593"/>
      <c r="F140" s="593"/>
      <c r="G140" s="596"/>
      <c r="H140" s="596"/>
      <c r="I140" s="596"/>
      <c r="J140" s="596"/>
      <c r="K140" s="596"/>
      <c r="L140" s="595"/>
      <c r="M140" s="597"/>
      <c r="N140" s="597"/>
      <c r="O140" s="597"/>
      <c r="P140" s="597"/>
      <c r="Q140" s="597"/>
      <c r="T140" s="19"/>
      <c r="U140" s="19"/>
      <c r="AB140" s="17"/>
      <c r="AC140" s="17"/>
    </row>
    <row r="141" spans="3:29">
      <c r="C141" s="593"/>
      <c r="D141" s="593"/>
      <c r="E141" s="593"/>
      <c r="F141" s="593"/>
      <c r="G141" s="596"/>
      <c r="H141" s="596"/>
      <c r="I141" s="596"/>
      <c r="J141" s="596"/>
      <c r="K141" s="596"/>
      <c r="L141" s="595"/>
      <c r="M141" s="597"/>
      <c r="N141" s="597"/>
      <c r="O141" s="597"/>
      <c r="P141" s="597"/>
      <c r="Q141" s="597"/>
      <c r="T141" s="19"/>
      <c r="U141" s="19"/>
      <c r="AB141" s="17"/>
      <c r="AC141" s="17"/>
    </row>
    <row r="142" spans="3:29">
      <c r="C142" s="593"/>
      <c r="D142" s="593"/>
      <c r="E142" s="593"/>
      <c r="F142" s="593"/>
      <c r="G142" s="596"/>
      <c r="H142" s="596"/>
      <c r="I142" s="596"/>
      <c r="J142" s="596"/>
      <c r="K142" s="596"/>
      <c r="L142" s="595"/>
      <c r="M142" s="597"/>
      <c r="N142" s="597"/>
      <c r="O142" s="597"/>
      <c r="P142" s="597"/>
      <c r="Q142" s="597"/>
      <c r="T142" s="19"/>
      <c r="U142" s="19"/>
      <c r="AB142" s="17"/>
      <c r="AC142" s="17"/>
    </row>
    <row r="143" spans="3:29">
      <c r="C143" s="593"/>
      <c r="D143" s="593"/>
      <c r="E143" s="593"/>
      <c r="F143" s="593"/>
      <c r="G143" s="596"/>
      <c r="H143" s="596"/>
      <c r="I143" s="596"/>
      <c r="J143" s="596"/>
      <c r="K143" s="596"/>
      <c r="L143" s="595"/>
      <c r="M143" s="597"/>
      <c r="N143" s="597"/>
      <c r="O143" s="597"/>
      <c r="P143" s="597"/>
      <c r="Q143" s="597"/>
      <c r="T143" s="19"/>
      <c r="U143" s="19"/>
      <c r="AB143" s="17"/>
      <c r="AC143" s="17"/>
    </row>
    <row r="144" spans="3:29">
      <c r="C144" s="593"/>
      <c r="D144" s="593"/>
      <c r="E144" s="593"/>
      <c r="F144" s="593"/>
      <c r="G144" s="596"/>
      <c r="H144" s="596"/>
      <c r="I144" s="596"/>
      <c r="J144" s="596"/>
      <c r="K144" s="596"/>
      <c r="L144" s="595"/>
      <c r="M144" s="597"/>
      <c r="N144" s="597"/>
      <c r="O144" s="597"/>
      <c r="P144" s="597"/>
      <c r="Q144" s="597"/>
      <c r="T144" s="19"/>
      <c r="U144" s="19"/>
      <c r="AB144" s="17"/>
      <c r="AC144" s="17"/>
    </row>
    <row r="145" spans="3:29">
      <c r="C145" s="593"/>
      <c r="D145" s="593"/>
      <c r="E145" s="593"/>
      <c r="F145" s="593"/>
      <c r="G145" s="596"/>
      <c r="H145" s="596"/>
      <c r="I145" s="596"/>
      <c r="J145" s="596"/>
      <c r="K145" s="596"/>
      <c r="L145" s="595"/>
      <c r="M145" s="597"/>
      <c r="N145" s="597"/>
      <c r="O145" s="597"/>
      <c r="P145" s="597"/>
      <c r="Q145" s="597"/>
      <c r="T145" s="19"/>
      <c r="U145" s="19"/>
      <c r="AB145" s="17"/>
      <c r="AC145" s="17"/>
    </row>
    <row r="146" spans="3:29">
      <c r="C146" s="593"/>
      <c r="D146" s="593"/>
      <c r="E146" s="593"/>
      <c r="F146" s="593"/>
      <c r="G146" s="596"/>
      <c r="H146" s="596"/>
      <c r="I146" s="596"/>
      <c r="J146" s="596"/>
      <c r="K146" s="596"/>
      <c r="L146" s="595"/>
      <c r="M146" s="597"/>
      <c r="N146" s="597"/>
      <c r="O146" s="597"/>
      <c r="P146" s="597"/>
      <c r="Q146" s="597"/>
      <c r="T146" s="19"/>
      <c r="U146" s="19"/>
      <c r="AB146" s="17"/>
      <c r="AC146" s="17"/>
    </row>
    <row r="147" spans="3:29">
      <c r="C147" s="593"/>
      <c r="D147" s="593"/>
      <c r="E147" s="593"/>
      <c r="F147" s="593"/>
      <c r="G147" s="596"/>
      <c r="H147" s="596"/>
      <c r="I147" s="596"/>
      <c r="J147" s="596"/>
      <c r="K147" s="596"/>
      <c r="L147" s="595"/>
      <c r="M147" s="597"/>
      <c r="N147" s="597"/>
      <c r="O147" s="597"/>
      <c r="P147" s="597"/>
      <c r="Q147" s="597"/>
      <c r="T147" s="19"/>
      <c r="U147" s="19"/>
      <c r="AB147" s="17"/>
      <c r="AC147" s="17"/>
    </row>
    <row r="148" spans="3:29">
      <c r="C148" s="593"/>
      <c r="D148" s="593"/>
      <c r="E148" s="593"/>
      <c r="F148" s="593"/>
      <c r="G148" s="596"/>
      <c r="H148" s="596"/>
      <c r="I148" s="596"/>
      <c r="J148" s="596"/>
      <c r="K148" s="596"/>
      <c r="L148" s="595"/>
      <c r="M148" s="593"/>
      <c r="N148" s="593"/>
      <c r="O148" s="593"/>
      <c r="P148" s="593"/>
      <c r="Q148" s="593"/>
      <c r="T148" s="19"/>
      <c r="U148" s="19"/>
      <c r="AB148" s="17"/>
      <c r="AC148" s="17"/>
    </row>
    <row r="149" spans="3:29">
      <c r="C149" s="593"/>
      <c r="D149" s="593"/>
      <c r="E149" s="593"/>
      <c r="F149" s="593"/>
      <c r="G149" s="596"/>
      <c r="H149" s="596"/>
      <c r="I149" s="596"/>
      <c r="J149" s="596"/>
      <c r="K149" s="596"/>
      <c r="L149" s="595"/>
      <c r="M149" s="593"/>
      <c r="N149" s="593"/>
      <c r="O149" s="593"/>
      <c r="P149" s="593"/>
      <c r="Q149" s="593"/>
      <c r="T149" s="19"/>
      <c r="U149" s="19"/>
      <c r="AB149" s="17"/>
      <c r="AC149" s="17"/>
    </row>
    <row r="150" spans="3:29">
      <c r="C150" s="593"/>
      <c r="D150" s="593"/>
      <c r="E150" s="593"/>
      <c r="F150" s="593"/>
      <c r="G150" s="596"/>
      <c r="H150" s="596"/>
      <c r="I150" s="596"/>
      <c r="J150" s="596"/>
      <c r="K150" s="596"/>
      <c r="L150" s="595"/>
      <c r="M150" s="593"/>
      <c r="N150" s="593"/>
      <c r="O150" s="593"/>
      <c r="P150" s="593"/>
      <c r="Q150" s="593"/>
      <c r="T150" s="19"/>
      <c r="U150" s="19"/>
      <c r="AB150" s="17"/>
      <c r="AC150" s="17"/>
    </row>
    <row r="151" spans="3:29">
      <c r="C151" s="593"/>
      <c r="D151" s="593"/>
      <c r="E151" s="593"/>
      <c r="F151" s="593"/>
      <c r="G151" s="596"/>
      <c r="H151" s="596"/>
      <c r="I151" s="596"/>
      <c r="J151" s="596"/>
      <c r="K151" s="596"/>
      <c r="L151" s="595"/>
      <c r="M151" s="593"/>
      <c r="N151" s="593"/>
      <c r="O151" s="593"/>
      <c r="P151" s="593"/>
      <c r="Q151" s="593"/>
      <c r="T151" s="19"/>
      <c r="U151" s="19"/>
      <c r="AB151" s="17"/>
      <c r="AC151" s="17"/>
    </row>
    <row r="152" spans="3:29">
      <c r="C152" s="593"/>
      <c r="D152" s="593"/>
      <c r="E152" s="593"/>
      <c r="F152" s="593"/>
      <c r="G152" s="596"/>
      <c r="H152" s="596"/>
      <c r="I152" s="596"/>
      <c r="J152" s="596"/>
      <c r="K152" s="596"/>
      <c r="L152" s="595"/>
      <c r="M152" s="593"/>
      <c r="N152" s="593"/>
      <c r="O152" s="593"/>
      <c r="P152" s="593"/>
      <c r="Q152" s="593"/>
      <c r="T152" s="19"/>
      <c r="U152" s="19"/>
      <c r="AB152" s="17"/>
      <c r="AC152" s="17"/>
    </row>
    <row r="153" spans="3:29">
      <c r="C153" s="593"/>
      <c r="D153" s="593"/>
      <c r="E153" s="593"/>
      <c r="F153" s="593"/>
      <c r="G153" s="596"/>
      <c r="H153" s="596"/>
      <c r="I153" s="596"/>
      <c r="J153" s="596"/>
      <c r="K153" s="596"/>
      <c r="L153" s="595"/>
      <c r="M153" s="593"/>
      <c r="N153" s="593"/>
      <c r="O153" s="593"/>
      <c r="P153" s="593"/>
      <c r="Q153" s="593"/>
      <c r="T153" s="19"/>
      <c r="U153" s="19"/>
      <c r="AB153" s="17"/>
      <c r="AC153" s="17"/>
    </row>
    <row r="154" spans="3:29">
      <c r="C154" s="593"/>
      <c r="D154" s="593"/>
      <c r="E154" s="593"/>
      <c r="F154" s="593"/>
      <c r="G154" s="596"/>
      <c r="H154" s="596"/>
      <c r="I154" s="596"/>
      <c r="J154" s="596"/>
      <c r="K154" s="596"/>
      <c r="L154" s="595"/>
      <c r="M154" s="593"/>
      <c r="N154" s="593"/>
      <c r="O154" s="593"/>
      <c r="P154" s="593"/>
      <c r="Q154" s="593"/>
      <c r="T154" s="19"/>
      <c r="U154" s="19"/>
      <c r="AB154" s="17"/>
      <c r="AC154" s="17"/>
    </row>
    <row r="155" spans="3:29">
      <c r="C155" s="593"/>
      <c r="D155" s="593"/>
      <c r="E155" s="593"/>
      <c r="F155" s="593"/>
      <c r="G155" s="596"/>
      <c r="H155" s="596"/>
      <c r="I155" s="596"/>
      <c r="J155" s="596"/>
      <c r="K155" s="596"/>
      <c r="L155" s="595"/>
      <c r="M155" s="593"/>
      <c r="N155" s="593"/>
      <c r="O155" s="593"/>
      <c r="P155" s="593"/>
      <c r="Q155" s="593"/>
      <c r="T155" s="19"/>
      <c r="U155" s="19"/>
      <c r="AB155" s="17"/>
      <c r="AC155" s="17"/>
    </row>
    <row r="156" spans="3:29">
      <c r="C156" s="593"/>
      <c r="D156" s="593"/>
      <c r="E156" s="593"/>
      <c r="F156" s="593"/>
      <c r="G156" s="596"/>
      <c r="H156" s="596"/>
      <c r="I156" s="596"/>
      <c r="J156" s="596"/>
      <c r="K156" s="596"/>
      <c r="L156" s="595"/>
      <c r="M156" s="593"/>
      <c r="N156" s="593"/>
      <c r="O156" s="593"/>
      <c r="P156" s="593"/>
      <c r="Q156" s="593"/>
      <c r="T156" s="19"/>
      <c r="U156" s="19"/>
      <c r="AB156" s="17"/>
      <c r="AC156" s="17"/>
    </row>
    <row r="157" spans="3:29">
      <c r="C157" s="593"/>
      <c r="D157" s="593"/>
      <c r="E157" s="593"/>
      <c r="F157" s="593"/>
      <c r="G157" s="596"/>
      <c r="H157" s="596"/>
      <c r="I157" s="596"/>
      <c r="J157" s="596"/>
      <c r="K157" s="596"/>
      <c r="L157" s="595"/>
      <c r="M157" s="593"/>
      <c r="N157" s="593"/>
      <c r="O157" s="593"/>
      <c r="P157" s="593"/>
      <c r="Q157" s="593"/>
      <c r="T157" s="19"/>
      <c r="U157" s="19"/>
      <c r="AB157" s="17"/>
      <c r="AC157" s="17"/>
    </row>
    <row r="158" spans="3:29">
      <c r="C158" s="593"/>
      <c r="D158" s="593"/>
      <c r="E158" s="593"/>
      <c r="F158" s="593"/>
      <c r="G158" s="596"/>
      <c r="H158" s="596"/>
      <c r="I158" s="596"/>
      <c r="J158" s="596"/>
      <c r="K158" s="596"/>
      <c r="L158" s="595"/>
      <c r="M158" s="593"/>
      <c r="N158" s="593"/>
      <c r="O158" s="593"/>
      <c r="P158" s="593"/>
      <c r="Q158" s="593"/>
      <c r="T158" s="19"/>
      <c r="U158" s="19"/>
      <c r="AB158" s="17"/>
      <c r="AC158" s="17"/>
    </row>
    <row r="159" spans="3:29">
      <c r="C159" s="593"/>
      <c r="D159" s="593"/>
      <c r="E159" s="593"/>
      <c r="F159" s="593"/>
      <c r="G159" s="596"/>
      <c r="H159" s="596"/>
      <c r="I159" s="596"/>
      <c r="J159" s="596"/>
      <c r="K159" s="596"/>
      <c r="L159" s="595"/>
      <c r="M159" s="593"/>
      <c r="N159" s="593"/>
      <c r="O159" s="593"/>
      <c r="P159" s="593"/>
      <c r="Q159" s="593"/>
      <c r="T159" s="19"/>
      <c r="U159" s="19"/>
      <c r="AB159" s="17"/>
      <c r="AC159" s="17"/>
    </row>
    <row r="160" spans="3:29">
      <c r="C160" s="593"/>
      <c r="D160" s="593"/>
      <c r="E160" s="593"/>
      <c r="F160" s="593"/>
      <c r="G160" s="596"/>
      <c r="H160" s="596"/>
      <c r="I160" s="596"/>
      <c r="J160" s="596"/>
      <c r="K160" s="596"/>
      <c r="L160" s="595"/>
      <c r="M160" s="593"/>
      <c r="N160" s="593"/>
      <c r="O160" s="593"/>
      <c r="P160" s="593"/>
      <c r="Q160" s="593"/>
      <c r="T160" s="19"/>
      <c r="U160" s="19"/>
      <c r="AB160" s="17"/>
      <c r="AC160" s="17"/>
    </row>
    <row r="161" spans="3:29">
      <c r="C161" s="593"/>
      <c r="D161" s="593"/>
      <c r="E161" s="593"/>
      <c r="F161" s="593"/>
      <c r="G161" s="596"/>
      <c r="H161" s="596"/>
      <c r="I161" s="596"/>
      <c r="J161" s="596"/>
      <c r="K161" s="596"/>
      <c r="L161" s="595"/>
      <c r="M161" s="593"/>
      <c r="N161" s="593"/>
      <c r="O161" s="593"/>
      <c r="P161" s="593"/>
      <c r="Q161" s="593"/>
      <c r="T161" s="19"/>
      <c r="U161" s="19"/>
      <c r="AB161" s="17"/>
      <c r="AC161" s="17"/>
    </row>
    <row r="162" spans="3:29">
      <c r="C162" s="593"/>
      <c r="D162" s="593"/>
      <c r="E162" s="593"/>
      <c r="F162" s="593"/>
      <c r="G162" s="593"/>
      <c r="H162" s="593"/>
      <c r="I162" s="593"/>
      <c r="J162" s="593"/>
      <c r="K162" s="593"/>
      <c r="L162" s="595"/>
      <c r="M162" s="593"/>
      <c r="N162" s="593"/>
      <c r="O162" s="593"/>
      <c r="P162" s="593"/>
      <c r="Q162" s="593"/>
      <c r="T162" s="19"/>
      <c r="U162" s="19"/>
      <c r="AB162" s="17"/>
      <c r="AC162" s="17"/>
    </row>
    <row r="163" spans="3:29">
      <c r="C163" s="593"/>
      <c r="D163" s="593"/>
      <c r="E163" s="593"/>
      <c r="F163" s="593"/>
      <c r="G163" s="596"/>
      <c r="H163" s="596"/>
      <c r="I163" s="596"/>
      <c r="J163" s="596"/>
      <c r="K163" s="596"/>
      <c r="L163" s="595"/>
      <c r="M163" s="593"/>
      <c r="N163" s="593"/>
      <c r="O163" s="593"/>
      <c r="P163" s="593"/>
      <c r="Q163" s="593"/>
      <c r="T163" s="19"/>
      <c r="U163" s="19"/>
      <c r="AB163" s="17"/>
      <c r="AC163" s="17"/>
    </row>
    <row r="164" spans="3:29">
      <c r="C164" s="593"/>
      <c r="D164" s="593"/>
      <c r="E164" s="593"/>
      <c r="F164" s="593"/>
      <c r="G164" s="596"/>
      <c r="H164" s="596"/>
      <c r="I164" s="596"/>
      <c r="J164" s="596"/>
      <c r="K164" s="596"/>
      <c r="L164" s="595"/>
      <c r="M164" s="593"/>
      <c r="N164" s="593"/>
      <c r="O164" s="593"/>
      <c r="P164" s="593"/>
      <c r="Q164" s="593"/>
      <c r="T164" s="19"/>
      <c r="U164" s="19"/>
      <c r="AB164" s="17"/>
      <c r="AC164" s="17"/>
    </row>
    <row r="165" spans="3:29">
      <c r="C165" s="593"/>
      <c r="D165" s="593"/>
      <c r="E165" s="593"/>
      <c r="F165" s="593"/>
      <c r="G165" s="596"/>
      <c r="H165" s="596"/>
      <c r="I165" s="596"/>
      <c r="J165" s="596"/>
      <c r="K165" s="596"/>
      <c r="L165" s="595"/>
      <c r="M165" s="593"/>
      <c r="N165" s="593"/>
      <c r="O165" s="593"/>
      <c r="P165" s="593"/>
      <c r="Q165" s="593"/>
      <c r="T165" s="19"/>
      <c r="U165" s="19"/>
      <c r="AB165" s="17"/>
      <c r="AC165" s="17"/>
    </row>
    <row r="166" spans="3:29">
      <c r="C166" s="593"/>
      <c r="D166" s="593"/>
      <c r="E166" s="593"/>
      <c r="F166" s="593"/>
      <c r="G166" s="596"/>
      <c r="H166" s="596"/>
      <c r="I166" s="596"/>
      <c r="J166" s="596"/>
      <c r="K166" s="596"/>
      <c r="L166" s="595"/>
      <c r="M166" s="593"/>
      <c r="N166" s="593"/>
      <c r="O166" s="593"/>
      <c r="P166" s="593"/>
      <c r="Q166" s="593"/>
      <c r="T166" s="19"/>
      <c r="U166" s="19"/>
      <c r="AB166" s="17"/>
      <c r="AC166" s="17"/>
    </row>
    <row r="167" spans="3:29">
      <c r="C167" s="593"/>
      <c r="D167" s="593"/>
      <c r="E167" s="593"/>
      <c r="F167" s="593"/>
      <c r="G167" s="596"/>
      <c r="H167" s="596"/>
      <c r="I167" s="596"/>
      <c r="J167" s="596"/>
      <c r="K167" s="596"/>
      <c r="L167" s="595"/>
      <c r="M167" s="593"/>
      <c r="N167" s="593"/>
      <c r="O167" s="593"/>
      <c r="P167" s="593"/>
      <c r="Q167" s="593"/>
      <c r="T167" s="19"/>
      <c r="U167" s="19"/>
      <c r="AB167" s="17"/>
      <c r="AC167" s="17"/>
    </row>
    <row r="168" spans="3:29">
      <c r="C168" s="593"/>
      <c r="D168" s="593"/>
      <c r="E168" s="593"/>
      <c r="F168" s="593"/>
      <c r="G168" s="596"/>
      <c r="H168" s="596"/>
      <c r="I168" s="596"/>
      <c r="J168" s="596"/>
      <c r="K168" s="596"/>
      <c r="L168" s="595"/>
      <c r="M168" s="593"/>
      <c r="N168" s="593"/>
      <c r="O168" s="593"/>
      <c r="P168" s="593"/>
      <c r="Q168" s="593"/>
      <c r="T168" s="19"/>
      <c r="U168" s="19"/>
      <c r="AB168" s="17"/>
      <c r="AC168" s="17"/>
    </row>
    <row r="169" spans="3:29">
      <c r="C169" s="593"/>
      <c r="D169" s="593"/>
      <c r="E169" s="593"/>
      <c r="F169" s="593"/>
      <c r="G169" s="596"/>
      <c r="H169" s="596"/>
      <c r="I169" s="596"/>
      <c r="J169" s="596"/>
      <c r="K169" s="596"/>
      <c r="L169" s="595"/>
      <c r="M169" s="593"/>
      <c r="N169" s="593"/>
      <c r="O169" s="593"/>
      <c r="P169" s="593"/>
      <c r="Q169" s="593"/>
      <c r="T169" s="19"/>
      <c r="U169" s="19"/>
      <c r="AB169" s="17"/>
      <c r="AC169" s="17"/>
    </row>
    <row r="170" spans="3:29">
      <c r="C170" s="593"/>
      <c r="D170" s="593"/>
      <c r="E170" s="593"/>
      <c r="F170" s="593"/>
      <c r="G170" s="596"/>
      <c r="H170" s="596"/>
      <c r="I170" s="596"/>
      <c r="J170" s="596"/>
      <c r="K170" s="596"/>
      <c r="L170" s="595"/>
      <c r="M170" s="593"/>
      <c r="N170" s="593"/>
      <c r="O170" s="593"/>
      <c r="P170" s="593"/>
      <c r="Q170" s="593"/>
      <c r="T170" s="19"/>
      <c r="U170" s="19"/>
      <c r="AB170" s="17"/>
      <c r="AC170" s="17"/>
    </row>
    <row r="171" spans="3:29">
      <c r="G171" s="583"/>
      <c r="H171" s="583"/>
      <c r="I171" s="583"/>
      <c r="J171" s="583"/>
      <c r="K171" s="583"/>
      <c r="T171" s="19"/>
      <c r="U171" s="19"/>
      <c r="AB171" s="17"/>
      <c r="AC171" s="17"/>
    </row>
    <row r="172" spans="3:29">
      <c r="G172" s="583"/>
      <c r="H172" s="583"/>
      <c r="I172" s="583"/>
      <c r="J172" s="583"/>
      <c r="K172" s="583"/>
      <c r="T172" s="19"/>
      <c r="U172" s="19"/>
      <c r="AB172" s="17"/>
      <c r="AC172" s="17"/>
    </row>
    <row r="173" spans="3:29">
      <c r="G173" s="583"/>
      <c r="H173" s="583"/>
      <c r="I173" s="583"/>
      <c r="J173" s="583"/>
      <c r="K173" s="583"/>
      <c r="T173" s="19"/>
      <c r="U173" s="19"/>
      <c r="AB173" s="17"/>
      <c r="AC173" s="17"/>
    </row>
    <row r="174" spans="3:29">
      <c r="G174" s="583"/>
      <c r="H174" s="583"/>
      <c r="I174" s="583"/>
      <c r="J174" s="583"/>
      <c r="K174" s="583"/>
      <c r="T174" s="19"/>
      <c r="U174" s="19"/>
      <c r="AB174" s="17"/>
      <c r="AC174" s="17"/>
    </row>
    <row r="175" spans="3:29">
      <c r="G175" s="583"/>
      <c r="H175" s="583"/>
      <c r="I175" s="583"/>
      <c r="J175" s="583"/>
      <c r="K175" s="583"/>
      <c r="T175" s="19"/>
      <c r="U175" s="19"/>
      <c r="AB175" s="17"/>
      <c r="AC175" s="17"/>
    </row>
    <row r="176" spans="3:29">
      <c r="G176" s="583"/>
      <c r="H176" s="583"/>
      <c r="I176" s="583"/>
      <c r="J176" s="583"/>
      <c r="K176" s="583"/>
      <c r="T176" s="19"/>
      <c r="U176" s="19"/>
      <c r="AB176" s="17"/>
      <c r="AC176" s="17"/>
    </row>
    <row r="177" spans="20:29">
      <c r="T177" s="19"/>
      <c r="U177" s="19"/>
      <c r="AB177" s="17"/>
      <c r="AC177" s="17"/>
    </row>
    <row r="178" spans="20:29">
      <c r="T178" s="19"/>
      <c r="U178" s="19"/>
      <c r="AB178" s="17"/>
      <c r="AC178" s="17"/>
    </row>
    <row r="179" spans="20:29">
      <c r="T179" s="19"/>
      <c r="U179" s="19"/>
      <c r="AB179" s="17"/>
      <c r="AC179" s="17"/>
    </row>
    <row r="180" spans="20:29">
      <c r="T180" s="19"/>
      <c r="U180" s="19"/>
      <c r="AB180" s="17"/>
      <c r="AC180" s="17"/>
    </row>
    <row r="181" spans="20:29">
      <c r="T181" s="19"/>
      <c r="U181" s="19"/>
      <c r="AB181" s="17"/>
      <c r="AC181" s="17"/>
    </row>
    <row r="182" spans="20:29">
      <c r="T182" s="19"/>
      <c r="U182" s="19"/>
      <c r="AB182" s="17"/>
      <c r="AC182" s="17"/>
    </row>
    <row r="183" spans="20:29">
      <c r="T183" s="19"/>
      <c r="U183" s="19"/>
      <c r="AB183" s="17"/>
      <c r="AC183" s="17"/>
    </row>
    <row r="184" spans="20:29">
      <c r="T184" s="19"/>
      <c r="U184" s="19"/>
      <c r="AB184" s="17"/>
      <c r="AC184" s="17"/>
    </row>
    <row r="185" spans="20:29">
      <c r="T185" s="19"/>
      <c r="U185" s="19"/>
      <c r="AB185" s="17"/>
      <c r="AC185" s="17"/>
    </row>
    <row r="186" spans="20:29">
      <c r="T186" s="19"/>
      <c r="U186" s="19"/>
      <c r="AB186" s="17"/>
      <c r="AC186" s="17"/>
    </row>
    <row r="187" spans="20:29">
      <c r="T187" s="19"/>
      <c r="U187" s="19"/>
      <c r="AB187" s="17"/>
      <c r="AC187" s="17"/>
    </row>
    <row r="188" spans="20:29">
      <c r="T188" s="19"/>
      <c r="U188" s="19"/>
      <c r="AB188" s="17"/>
      <c r="AC188" s="17"/>
    </row>
    <row r="189" spans="20:29">
      <c r="T189" s="19"/>
      <c r="U189" s="19"/>
      <c r="AB189" s="17"/>
      <c r="AC189" s="17"/>
    </row>
    <row r="190" spans="20:29">
      <c r="T190" s="19"/>
      <c r="U190" s="19"/>
      <c r="AB190" s="17"/>
      <c r="AC190" s="17"/>
    </row>
    <row r="191" spans="20:29">
      <c r="T191" s="19"/>
      <c r="U191" s="19"/>
      <c r="AB191" s="17"/>
      <c r="AC191" s="17"/>
    </row>
    <row r="192" spans="20:29">
      <c r="T192" s="19"/>
      <c r="U192" s="19"/>
      <c r="AB192" s="17"/>
      <c r="AC192" s="17"/>
    </row>
    <row r="193" spans="20:29">
      <c r="T193" s="19"/>
      <c r="U193" s="19"/>
      <c r="AB193" s="17"/>
      <c r="AC193" s="17"/>
    </row>
    <row r="194" spans="20:29">
      <c r="T194" s="19"/>
      <c r="U194" s="19"/>
      <c r="AB194" s="17"/>
      <c r="AC194" s="17"/>
    </row>
    <row r="195" spans="20:29">
      <c r="T195" s="19"/>
      <c r="U195" s="19"/>
      <c r="AB195" s="17"/>
      <c r="AC195" s="17"/>
    </row>
    <row r="196" spans="20:29">
      <c r="T196" s="19"/>
      <c r="U196" s="19"/>
      <c r="AB196" s="17"/>
      <c r="AC196" s="17"/>
    </row>
    <row r="197" spans="20:29">
      <c r="T197" s="19"/>
      <c r="U197" s="19"/>
      <c r="AB197" s="17"/>
      <c r="AC197" s="17"/>
    </row>
    <row r="198" spans="20:29">
      <c r="T198" s="19"/>
      <c r="U198" s="19"/>
      <c r="AB198" s="17"/>
      <c r="AC198" s="17"/>
    </row>
    <row r="199" spans="20:29">
      <c r="T199" s="19"/>
      <c r="U199" s="19"/>
      <c r="AB199" s="17"/>
      <c r="AC199" s="17"/>
    </row>
    <row r="200" spans="20:29">
      <c r="T200" s="19"/>
      <c r="U200" s="19"/>
      <c r="AB200" s="17"/>
      <c r="AC200" s="17"/>
    </row>
    <row r="201" spans="20:29">
      <c r="T201" s="19"/>
      <c r="U201" s="19"/>
      <c r="AB201" s="17"/>
      <c r="AC201" s="17"/>
    </row>
    <row r="219" spans="3:3">
      <c r="C219" s="584" t="s">
        <v>4</v>
      </c>
    </row>
  </sheetData>
  <mergeCells count="14">
    <mergeCell ref="V8:W8"/>
    <mergeCell ref="X8:Y8"/>
    <mergeCell ref="Z8:AA8"/>
    <mergeCell ref="AB8:AC8"/>
    <mergeCell ref="G6:Q6"/>
    <mergeCell ref="G7:K7"/>
    <mergeCell ref="M7:Q7"/>
    <mergeCell ref="C60:Q60"/>
    <mergeCell ref="C59:Q59"/>
    <mergeCell ref="C57:Q57"/>
    <mergeCell ref="C116:Q116"/>
    <mergeCell ref="C61:Q61"/>
    <mergeCell ref="G66:K66"/>
    <mergeCell ref="M66:Q66"/>
  </mergeCells>
  <printOptions horizontalCentered="1"/>
  <pageMargins left="0.70866141732283472" right="0.70866141732283472" top="0.74803149606299213" bottom="0.74803149606299213" header="0.74803149606299213" footer="0.35433070866141736"/>
  <pageSetup paperSize="9" scale="61" fitToHeight="2" orientation="portrait" r:id="rId1"/>
  <headerFooter differentOddEven="1">
    <oddFooter>&amp;R&amp;G</oddFooter>
    <evenFooter>&amp;L&amp;G</evenFooter>
  </headerFooter>
  <rowBreaks count="1" manualBreakCount="1">
    <brk id="63" max="16" man="1"/>
  </rowBreaks>
  <ignoredErrors>
    <ignoredError sqref="C5 C37:C49 C15:C16 C74:C85 C31:C33 C58 C22:C23 C11:C12 C65 C51:C52 C87:C105 M6:Q6 H6:L6 E6:F6" unlockedFormula="1"/>
    <ignoredError sqref="C19" formula="1"/>
    <ignoredError sqref="F7 H7:L7 N7:Q7" numberStoredAsText="1"/>
    <ignoredError sqref="M7 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40625" defaultRowHeight="12.75"/>
  <cols>
    <col min="1" max="1" width="3.42578125" style="138" customWidth="1"/>
    <col min="2" max="2" width="4.42578125" style="138" customWidth="1"/>
    <col min="3" max="3" width="25.85546875" style="138" customWidth="1"/>
    <col min="4" max="10" width="9.42578125" style="138" customWidth="1"/>
    <col min="11" max="11" width="9.140625" style="138" customWidth="1"/>
    <col min="12" max="12" width="2.42578125" style="138" customWidth="1"/>
    <col min="13" max="13" width="9.5703125" style="206" bestFit="1" customWidth="1"/>
    <col min="14" max="20" width="7" style="206" customWidth="1"/>
    <col min="21" max="16384" width="9.140625" style="138"/>
  </cols>
  <sheetData>
    <row r="2" spans="2:20" ht="24" customHeight="1">
      <c r="B2" s="8"/>
      <c r="C2" s="9" t="str">
        <f>IF(Indice_index!$Z$1=1,"2.A - Conta Consolidada das Administrações Públicas","2.A - General Government Consolidated Account")</f>
        <v>2.A - General Government Consolidated Account</v>
      </c>
      <c r="D2" s="9"/>
      <c r="E2" s="9"/>
      <c r="F2" s="9"/>
      <c r="G2" s="9"/>
      <c r="H2" s="9"/>
      <c r="I2" s="9"/>
      <c r="J2" s="9"/>
    </row>
    <row r="3" spans="2:20" ht="11.25" customHeight="1"/>
    <row r="4" spans="2:20" ht="11.25" customHeight="1"/>
    <row r="5" spans="2:20" s="252" customFormat="1">
      <c r="C5" s="681" t="str">
        <f>+'5 - Conta AC + SS'!C5</f>
        <v>Period: January to May</v>
      </c>
      <c r="D5" s="1342"/>
      <c r="E5" s="251"/>
      <c r="F5" s="251"/>
      <c r="G5" s="1488"/>
      <c r="H5" s="1488"/>
      <c r="I5" s="1488"/>
      <c r="J5" s="1488" t="str">
        <f>IF(Indice_index!$Z$1=1,"€ Milhões","€ Millions")</f>
        <v>€ Millions</v>
      </c>
      <c r="M5" s="585"/>
      <c r="N5" s="585"/>
      <c r="O5" s="585"/>
      <c r="P5" s="585"/>
      <c r="Q5" s="585"/>
      <c r="R5" s="585"/>
      <c r="S5" s="585"/>
      <c r="T5" s="585"/>
    </row>
    <row r="6" spans="2:20" ht="15" customHeight="1">
      <c r="C6" s="1639"/>
      <c r="D6" s="1642" t="str">
        <f>IF(Indice_index!$Z$1=1,"Execução Acumulada","Accumulated Execution")</f>
        <v>Accumulated Execution</v>
      </c>
      <c r="E6" s="1643"/>
      <c r="F6" s="1649" t="str">
        <f>IF(Indice_index!$Z$1=1,"Variação Homóloga Acumulada","YOY Change Rate")</f>
        <v>YOY Change Rate</v>
      </c>
      <c r="G6" s="1650"/>
      <c r="H6" s="1650"/>
      <c r="I6" s="1651"/>
      <c r="J6" s="1646" t="str">
        <f>IF(Indice_index!$Z$1=1,"Contributo (em p.p.)","Contribution (p.p.)")</f>
        <v>Contribution (p.p.)</v>
      </c>
      <c r="L6" s="586"/>
      <c r="M6" s="207"/>
      <c r="N6" s="207"/>
      <c r="O6" s="207"/>
      <c r="P6" s="207"/>
      <c r="Q6" s="207"/>
      <c r="R6" s="207"/>
      <c r="S6" s="207"/>
      <c r="T6" s="207"/>
    </row>
    <row r="7" spans="2:20" ht="15.75" customHeight="1">
      <c r="C7" s="1640"/>
      <c r="D7" s="1644"/>
      <c r="E7" s="1645"/>
      <c r="F7" s="1649" t="str">
        <f>IF(Indice_index!$Z$1=1,"Absoluta","Absolute")</f>
        <v>Absolute</v>
      </c>
      <c r="G7" s="1651"/>
      <c r="H7" s="1649" t="str">
        <f>IF(Indice_index!$Z$1=1,"Relativa (%)","Relative (%)")</f>
        <v>Relative (%)</v>
      </c>
      <c r="I7" s="1651"/>
      <c r="J7" s="1647"/>
      <c r="L7" s="586"/>
      <c r="M7" s="207"/>
      <c r="N7" s="207"/>
      <c r="O7" s="207"/>
      <c r="P7" s="207"/>
      <c r="Q7" s="207"/>
      <c r="R7" s="207"/>
      <c r="S7" s="207"/>
      <c r="T7" s="207"/>
    </row>
    <row r="8" spans="2:20" ht="21" customHeight="1">
      <c r="C8" s="1641"/>
      <c r="D8" s="1489" t="s">
        <v>68</v>
      </c>
      <c r="E8" s="1489" t="s">
        <v>75</v>
      </c>
      <c r="F8" s="1490" t="str">
        <f>IF(Indice_index!$Z$1=1,"abril","April")</f>
        <v>April</v>
      </c>
      <c r="G8" s="1490" t="str">
        <f>IF(Indice_index!$Z$1=1,"maio","May")</f>
        <v>May</v>
      </c>
      <c r="H8" s="1490" t="str">
        <f>IF(Indice_index!$Z$1=1,"abril","April")</f>
        <v>April</v>
      </c>
      <c r="I8" s="1490" t="str">
        <f>IF(Indice_index!$Z$1=1,"maio","May")</f>
        <v>May</v>
      </c>
      <c r="J8" s="1648"/>
      <c r="L8" s="586"/>
      <c r="M8" s="1638"/>
      <c r="N8" s="1638"/>
      <c r="O8" s="1638"/>
      <c r="P8" s="1638"/>
      <c r="Q8" s="1638"/>
      <c r="R8" s="1638"/>
      <c r="S8" s="1638"/>
      <c r="T8" s="1638"/>
    </row>
    <row r="9" spans="2:20" s="252" customFormat="1" ht="15" customHeight="1">
      <c r="C9" s="320" t="str">
        <f>IF(Indice_index!$Z$1=1,"Receita corrente","Current revenue")</f>
        <v>Current revenue</v>
      </c>
      <c r="D9" s="320">
        <f>'2 - Conta Consol AP'!K9</f>
        <v>30410.867436770077</v>
      </c>
      <c r="E9" s="320">
        <f>'2 - Conta Consol AP'!Q9</f>
        <v>35263.271280504094</v>
      </c>
      <c r="F9" s="320">
        <v>3683.682248315637</v>
      </c>
      <c r="G9" s="320">
        <f t="shared" ref="G9:G21" si="0">+E9-D9</f>
        <v>4852.4038437340168</v>
      </c>
      <c r="H9" s="1342">
        <v>15.163977199783954</v>
      </c>
      <c r="I9" s="1342">
        <f t="shared" ref="I9:I15" si="1">IFERROR(IF(ABS(+G9/D9*100)&gt;500,"-",+G9/D9*100),"-")</f>
        <v>15.956150720866738</v>
      </c>
      <c r="J9" s="320">
        <f t="shared" ref="J9:J21" si="2">+G9/$D$23*100</f>
        <v>15.487930364716071</v>
      </c>
      <c r="K9" s="587"/>
      <c r="L9" s="588"/>
      <c r="M9" s="589"/>
      <c r="N9" s="589"/>
      <c r="O9" s="589"/>
      <c r="P9" s="589"/>
      <c r="Q9" s="589"/>
      <c r="R9" s="589"/>
      <c r="S9" s="589"/>
      <c r="T9" s="589"/>
    </row>
    <row r="10" spans="2:20" ht="15" customHeight="1">
      <c r="C10" s="688" t="str">
        <f>IF(Indice_index!$Z$1=1,"Receita Fiscal","Tax")</f>
        <v>Tax</v>
      </c>
      <c r="D10" s="180">
        <f>'2 - Conta Consol AP'!K10</f>
        <v>16061.543246505553</v>
      </c>
      <c r="E10" s="180">
        <f>'2 - Conta Consol AP'!Q10</f>
        <v>19443.633533179313</v>
      </c>
      <c r="F10" s="180">
        <v>2461.9835378641928</v>
      </c>
      <c r="G10" s="180">
        <f t="shared" si="0"/>
        <v>3382.0902866737597</v>
      </c>
      <c r="H10" s="1491">
        <v>18.796107072813115</v>
      </c>
      <c r="I10" s="1491">
        <f t="shared" si="1"/>
        <v>21.057069266426737</v>
      </c>
      <c r="J10" s="180">
        <f t="shared" si="2"/>
        <v>10.794975136875085</v>
      </c>
      <c r="K10" s="208"/>
      <c r="L10" s="209"/>
      <c r="M10" s="207"/>
      <c r="N10" s="207"/>
      <c r="O10" s="207"/>
      <c r="P10" s="207"/>
      <c r="Q10" s="207"/>
      <c r="R10" s="207"/>
      <c r="S10" s="207"/>
      <c r="T10" s="207"/>
    </row>
    <row r="11" spans="2:20" ht="15" customHeight="1">
      <c r="C11" s="695" t="str">
        <f>IF(Indice_index!$Z$1=1,"Impostos diretos","Direct taxes")</f>
        <v>Direct taxes</v>
      </c>
      <c r="D11" s="180">
        <f>'2 - Conta Consol AP'!K11</f>
        <v>5584.7972695006274</v>
      </c>
      <c r="E11" s="180">
        <f>'2 - Conta Consol AP'!Q11</f>
        <v>6811.2196129892427</v>
      </c>
      <c r="F11" s="180">
        <v>650.96776239077462</v>
      </c>
      <c r="G11" s="180">
        <f t="shared" si="0"/>
        <v>1226.4223434886153</v>
      </c>
      <c r="H11" s="1491">
        <v>12.601599710648106</v>
      </c>
      <c r="I11" s="1491">
        <f t="shared" si="1"/>
        <v>21.960015454567746</v>
      </c>
      <c r="J11" s="180">
        <f t="shared" si="2"/>
        <v>3.9145018562731067</v>
      </c>
      <c r="K11" s="208"/>
      <c r="L11" s="209"/>
      <c r="M11" s="207"/>
      <c r="N11" s="207"/>
      <c r="O11" s="207"/>
      <c r="P11" s="207"/>
      <c r="Q11" s="207"/>
      <c r="R11" s="207"/>
      <c r="S11" s="207"/>
      <c r="T11" s="207"/>
    </row>
    <row r="12" spans="2:20" ht="15" customHeight="1">
      <c r="C12" s="695" t="str">
        <f>IF(Indice_index!$Z$1=1,"Impostos indiretos","Indirect taxes")</f>
        <v>Indirect taxes</v>
      </c>
      <c r="D12" s="180">
        <f>'2 - Conta Consol AP'!K12</f>
        <v>10476.745977004926</v>
      </c>
      <c r="E12" s="180">
        <f>'2 - Conta Consol AP'!Q12</f>
        <v>12632.413920190069</v>
      </c>
      <c r="F12" s="180">
        <v>1811.0157754734182</v>
      </c>
      <c r="G12" s="180">
        <f t="shared" si="0"/>
        <v>2155.6679431851426</v>
      </c>
      <c r="H12" s="1491">
        <v>22.829998721428375</v>
      </c>
      <c r="I12" s="1491">
        <f t="shared" si="1"/>
        <v>20.575739336589326</v>
      </c>
      <c r="J12" s="180">
        <f t="shared" si="2"/>
        <v>6.8804732806019713</v>
      </c>
      <c r="K12" s="208"/>
      <c r="L12" s="209"/>
      <c r="M12" s="207"/>
      <c r="N12" s="207"/>
      <c r="O12" s="207"/>
      <c r="P12" s="207"/>
      <c r="Q12" s="207"/>
      <c r="R12" s="207"/>
      <c r="S12" s="207"/>
      <c r="T12" s="207"/>
    </row>
    <row r="13" spans="2:20" ht="15" customHeight="1">
      <c r="C13" s="682" t="str">
        <f>IF(Indice_index!$Z$1=1,"Contribuições de Segurança Social","Social security contributions")</f>
        <v>Social security contributions</v>
      </c>
      <c r="D13" s="180">
        <f>'2 - Conta Consol AP'!K13</f>
        <v>9043.5465824800012</v>
      </c>
      <c r="E13" s="180">
        <f>'2 - Conta Consol AP'!Q13</f>
        <v>9961.4594150099983</v>
      </c>
      <c r="F13" s="180">
        <v>687.06624946000102</v>
      </c>
      <c r="G13" s="180">
        <f t="shared" si="0"/>
        <v>917.9128325299971</v>
      </c>
      <c r="H13" s="1491">
        <v>9.4913003849231146</v>
      </c>
      <c r="I13" s="1491">
        <f t="shared" si="1"/>
        <v>10.149920986842298</v>
      </c>
      <c r="J13" s="180">
        <f t="shared" si="2"/>
        <v>2.9297994332153441</v>
      </c>
      <c r="K13" s="208"/>
      <c r="L13" s="209"/>
      <c r="M13" s="207"/>
      <c r="N13" s="207"/>
      <c r="O13" s="207"/>
      <c r="P13" s="207"/>
      <c r="Q13" s="207"/>
      <c r="R13" s="207"/>
      <c r="S13" s="207"/>
      <c r="T13" s="207"/>
    </row>
    <row r="14" spans="2:20" ht="15" customHeight="1">
      <c r="C14" s="696" t="str">
        <f>IF(Indice_index!$Z$1=1,"Transferências Correntes","Current transfers")</f>
        <v>Current transfers</v>
      </c>
      <c r="D14" s="180">
        <f>'2 - Conta Consol AP'!K14</f>
        <v>1252.7129081956527</v>
      </c>
      <c r="E14" s="180">
        <f>'2 - Conta Consol AP'!Q14</f>
        <v>1105.3618532008145</v>
      </c>
      <c r="F14" s="180">
        <v>-83.701844021871921</v>
      </c>
      <c r="G14" s="180">
        <f t="shared" si="0"/>
        <v>-147.35105499483825</v>
      </c>
      <c r="H14" s="1491">
        <v>-8.230584333624547</v>
      </c>
      <c r="I14" s="1491">
        <f t="shared" si="1"/>
        <v>-11.762555812334975</v>
      </c>
      <c r="J14" s="180">
        <f t="shared" si="2"/>
        <v>-0.47031594080416345</v>
      </c>
      <c r="K14" s="208"/>
      <c r="L14" s="209"/>
      <c r="M14" s="207"/>
      <c r="N14" s="207"/>
      <c r="O14" s="207"/>
      <c r="P14" s="207"/>
      <c r="Q14" s="207"/>
      <c r="R14" s="207"/>
      <c r="S14" s="207"/>
      <c r="T14" s="207"/>
    </row>
    <row r="15" spans="2:20" ht="15" customHeight="1">
      <c r="C15" s="682" t="str">
        <f>IF(Indice_index!$Z$1=1,"Outras receitas correntes","Other current revenue")</f>
        <v>Other current revenue</v>
      </c>
      <c r="D15" s="180">
        <f>'2 - Conta Consol AP'!K17</f>
        <v>4030.2161749488705</v>
      </c>
      <c r="E15" s="180">
        <f>'2 - Conta Consol AP'!Q17</f>
        <v>4659.5968960139726</v>
      </c>
      <c r="F15" s="180">
        <v>536.86035879330166</v>
      </c>
      <c r="G15" s="180">
        <f t="shared" si="0"/>
        <v>629.38072106510208</v>
      </c>
      <c r="H15" s="1491">
        <v>18.326595508548753</v>
      </c>
      <c r="I15" s="1491">
        <f t="shared" si="1"/>
        <v>15.616549925466138</v>
      </c>
      <c r="J15" s="180">
        <f t="shared" si="2"/>
        <v>2.0088609882169184</v>
      </c>
      <c r="K15" s="208"/>
      <c r="L15" s="209"/>
      <c r="M15" s="207"/>
      <c r="N15" s="207"/>
      <c r="O15" s="207"/>
      <c r="P15" s="207"/>
      <c r="Q15" s="207"/>
      <c r="R15" s="207"/>
      <c r="S15" s="207"/>
      <c r="T15" s="207"/>
    </row>
    <row r="16" spans="2:20" ht="15" customHeight="1">
      <c r="C16" s="682" t="str">
        <f>IF(Indice_index!$Z$1=1,"Diferenças de consolidação","Consolidation differences")</f>
        <v>Consolidation differences</v>
      </c>
      <c r="D16" s="180">
        <f>'2 - Conta Consol AP'!K18</f>
        <v>22.848524639999731</v>
      </c>
      <c r="E16" s="180">
        <f>'2 - Conta Consol AP'!Q18</f>
        <v>93.219583099999753</v>
      </c>
      <c r="F16" s="180">
        <v>81.473946220013033</v>
      </c>
      <c r="G16" s="180">
        <f t="shared" si="0"/>
        <v>70.371058460000029</v>
      </c>
      <c r="H16" s="1491" t="s">
        <v>3</v>
      </c>
      <c r="I16" s="1491" t="s">
        <v>3</v>
      </c>
      <c r="J16" s="180">
        <f t="shared" si="2"/>
        <v>0.22461074721289973</v>
      </c>
      <c r="K16" s="208"/>
      <c r="L16" s="209"/>
      <c r="M16" s="207"/>
      <c r="N16" s="207"/>
      <c r="O16" s="207"/>
      <c r="P16" s="207"/>
      <c r="Q16" s="207"/>
      <c r="R16" s="207"/>
      <c r="S16" s="207"/>
      <c r="T16" s="207"/>
    </row>
    <row r="17" spans="2:20" s="252" customFormat="1" ht="15" customHeight="1">
      <c r="C17" s="320" t="str">
        <f>IF(Indice_index!$Z$1=1,"Receita de capital","Capital revenue")</f>
        <v>Capital revenue</v>
      </c>
      <c r="D17" s="320">
        <f>'2 - Conta Consol AP'!K19</f>
        <v>919.36022740222734</v>
      </c>
      <c r="E17" s="320">
        <f>'2 - Conta Consol AP'!Q19</f>
        <v>1049.113066125738</v>
      </c>
      <c r="F17" s="320">
        <v>58.951999576286958</v>
      </c>
      <c r="G17" s="320">
        <f t="shared" si="0"/>
        <v>129.75283872351065</v>
      </c>
      <c r="H17" s="1342">
        <v>8.9512799766994213</v>
      </c>
      <c r="I17" s="1342">
        <f>IFERROR(IF(ABS(+G17/D17*100)&gt;500,"-",+G17/D17*100),"-")</f>
        <v>14.113383944196094</v>
      </c>
      <c r="J17" s="320">
        <f t="shared" si="2"/>
        <v>0.41414585337306559</v>
      </c>
      <c r="K17" s="587"/>
      <c r="L17" s="588"/>
      <c r="M17" s="589"/>
      <c r="N17" s="589"/>
      <c r="O17" s="589"/>
      <c r="P17" s="589"/>
      <c r="Q17" s="589"/>
      <c r="R17" s="589"/>
      <c r="S17" s="589"/>
      <c r="T17" s="589"/>
    </row>
    <row r="18" spans="2:20" s="252" customFormat="1" ht="15" customHeight="1">
      <c r="C18" s="682" t="str">
        <f>IF(Indice_index!$Z$1=1,"Venda de bens de investimento","Sale of investment goods")</f>
        <v>Sale of investment goods</v>
      </c>
      <c r="D18" s="180">
        <f>'2 - Conta Consol AP'!K20</f>
        <v>109.03557905575033</v>
      </c>
      <c r="E18" s="180">
        <f>'2 - Conta Consol AP'!Q20</f>
        <v>81.150373603028399</v>
      </c>
      <c r="F18" s="180">
        <v>-37.862838546100654</v>
      </c>
      <c r="G18" s="180">
        <f t="shared" si="0"/>
        <v>-27.885205452721934</v>
      </c>
      <c r="H18" s="1491">
        <v>-38.997145305206779</v>
      </c>
      <c r="I18" s="1491">
        <f>IFERROR(IF(ABS(+G18/D18*100)&gt;500,"-",+G18/D18*100),"-")</f>
        <v>-25.574409467265831</v>
      </c>
      <c r="J18" s="180">
        <f t="shared" si="2"/>
        <v>-8.9004158385385987E-2</v>
      </c>
      <c r="K18" s="587"/>
      <c r="L18" s="588"/>
      <c r="M18" s="589"/>
      <c r="N18" s="589"/>
      <c r="O18" s="589"/>
      <c r="P18" s="589"/>
      <c r="Q18" s="589"/>
      <c r="R18" s="589"/>
      <c r="S18" s="589"/>
      <c r="T18" s="589"/>
    </row>
    <row r="19" spans="2:20" s="252" customFormat="1" ht="15" customHeight="1">
      <c r="C19" s="696" t="str">
        <f>IF(Indice_index!$Z$1=1,"Transferências de Capital","Capital transfers")</f>
        <v>Capital transfers</v>
      </c>
      <c r="D19" s="180">
        <f>'2 - Conta Consol AP'!K21</f>
        <v>798.23595713047223</v>
      </c>
      <c r="E19" s="180">
        <f>'2 - Conta Consol AP'!Q21</f>
        <v>941.41473593455942</v>
      </c>
      <c r="F19" s="180">
        <v>81.849465582872767</v>
      </c>
      <c r="G19" s="180">
        <f t="shared" si="0"/>
        <v>143.17877880408719</v>
      </c>
      <c r="H19" s="1491">
        <v>14.840184479630814</v>
      </c>
      <c r="I19" s="1491">
        <f>IFERROR(IF(ABS(+G19/D19*100)&gt;500,"-",+G19/D19*100),"-")</f>
        <v>17.936899174373387</v>
      </c>
      <c r="J19" s="180">
        <f t="shared" si="2"/>
        <v>0.45699884577544692</v>
      </c>
      <c r="K19" s="587"/>
      <c r="L19" s="588"/>
      <c r="M19" s="589"/>
      <c r="N19" s="589"/>
      <c r="O19" s="589"/>
      <c r="P19" s="589"/>
      <c r="Q19" s="589"/>
      <c r="R19" s="589"/>
      <c r="S19" s="589"/>
      <c r="T19" s="589"/>
    </row>
    <row r="20" spans="2:20" s="252" customFormat="1" ht="15" customHeight="1">
      <c r="C20" s="682" t="str">
        <f>IF(Indice_index!$Z$1=1,"Outras receitas de capital","Other capital revenue")</f>
        <v>Other capital revenue</v>
      </c>
      <c r="D20" s="180">
        <f>'2 - Conta Consol AP'!K24</f>
        <v>10.792753446004635</v>
      </c>
      <c r="E20" s="180">
        <f>'2 - Conta Consol AP'!Q24</f>
        <v>26.337161548150227</v>
      </c>
      <c r="F20" s="180">
        <v>16.196422489514923</v>
      </c>
      <c r="G20" s="180">
        <f t="shared" si="0"/>
        <v>15.544408102145592</v>
      </c>
      <c r="H20" s="1491">
        <v>190.49940092939605</v>
      </c>
      <c r="I20" s="1491">
        <f>IFERROR(IF(ABS(+G20/D20*100)&gt;500,"-",+G20/D20*100),"-")</f>
        <v>144.02634304501757</v>
      </c>
      <c r="J20" s="180">
        <f t="shared" si="2"/>
        <v>4.9614730760228105E-2</v>
      </c>
      <c r="K20" s="587"/>
      <c r="L20" s="588"/>
      <c r="M20" s="589"/>
      <c r="N20" s="589"/>
      <c r="O20" s="589"/>
      <c r="P20" s="589"/>
      <c r="Q20" s="589"/>
      <c r="R20" s="589"/>
      <c r="S20" s="589"/>
      <c r="T20" s="589"/>
    </row>
    <row r="21" spans="2:20" ht="15" customHeight="1">
      <c r="C21" s="1492" t="str">
        <f>IF(Indice_index!$Z$1=1,"Diferenças de consolidação","Consolidation differences")</f>
        <v>Consolidation differences</v>
      </c>
      <c r="D21" s="180">
        <f>'2 - Conta Consol AP'!K25</f>
        <v>1.2959377700001582</v>
      </c>
      <c r="E21" s="180">
        <f>'2 - Conta Consol AP'!Q25</f>
        <v>0.21079503999997168</v>
      </c>
      <c r="F21" s="180">
        <v>-1.2310499500000769</v>
      </c>
      <c r="G21" s="180">
        <f t="shared" si="0"/>
        <v>-1.0851427300001866</v>
      </c>
      <c r="H21" s="1491" t="s">
        <v>3</v>
      </c>
      <c r="I21" s="1493" t="s">
        <v>3</v>
      </c>
      <c r="J21" s="180">
        <f t="shared" si="2"/>
        <v>-3.4635647772234416E-3</v>
      </c>
      <c r="K21" s="208"/>
      <c r="L21" s="209"/>
      <c r="M21" s="207"/>
      <c r="N21" s="207"/>
      <c r="O21" s="207"/>
      <c r="P21" s="207"/>
      <c r="Q21" s="207"/>
      <c r="R21" s="207"/>
      <c r="S21" s="207"/>
      <c r="T21" s="207"/>
    </row>
    <row r="22" spans="2:20" s="570" customFormat="1" ht="4.5" customHeight="1">
      <c r="C22" s="1353"/>
      <c r="D22" s="1494"/>
      <c r="E22" s="1494"/>
      <c r="F22" s="1494"/>
      <c r="G22" s="1494"/>
      <c r="H22" s="1495"/>
      <c r="I22" s="1495"/>
      <c r="J22" s="1494"/>
      <c r="K22" s="208"/>
      <c r="L22" s="209"/>
      <c r="M22" s="207"/>
      <c r="N22" s="207"/>
      <c r="O22" s="572"/>
      <c r="P22" s="572"/>
      <c r="Q22" s="572"/>
      <c r="R22" s="572"/>
      <c r="S22" s="207"/>
      <c r="T22" s="207"/>
    </row>
    <row r="23" spans="2:20" s="252" customFormat="1" ht="15" customHeight="1">
      <c r="C23" s="1496" t="str">
        <f>IF(Indice_index!$Z$1=1,"Receita efetiva","Effective revenue")</f>
        <v>Effective revenue</v>
      </c>
      <c r="D23" s="1496">
        <f>'2 - Conta Consol AP'!K27</f>
        <v>31330.227664172304</v>
      </c>
      <c r="E23" s="1496">
        <f>'2 - Conta Consol AP'!Q27</f>
        <v>36312.384346629835</v>
      </c>
      <c r="F23" s="1496">
        <v>3742.6342478919241</v>
      </c>
      <c r="G23" s="1496">
        <f>+E23-D23</f>
        <v>4982.1566824575311</v>
      </c>
      <c r="H23" s="1497">
        <v>14.999991038318267</v>
      </c>
      <c r="I23" s="1497">
        <f>IFERROR(IF(ABS(+G23/D23*100)&gt;500,"-",+G23/D23*100),"-")</f>
        <v>15.902076218089148</v>
      </c>
      <c r="J23" s="1496"/>
      <c r="K23" s="587"/>
      <c r="L23" s="588"/>
      <c r="M23" s="589"/>
      <c r="N23" s="589"/>
      <c r="O23" s="589"/>
      <c r="P23" s="589"/>
      <c r="Q23" s="589"/>
      <c r="R23" s="589"/>
      <c r="S23" s="589"/>
      <c r="T23" s="589"/>
    </row>
    <row r="24" spans="2:20" s="570" customFormat="1" ht="4.5" customHeight="1">
      <c r="C24" s="1353"/>
      <c r="D24" s="1494"/>
      <c r="E24" s="1494"/>
      <c r="F24" s="1494"/>
      <c r="G24" s="1494"/>
      <c r="H24" s="1495"/>
      <c r="I24" s="1495"/>
      <c r="J24" s="1494"/>
      <c r="K24" s="208"/>
      <c r="L24" s="209"/>
      <c r="M24" s="207"/>
      <c r="N24" s="207"/>
      <c r="O24" s="572"/>
      <c r="P24" s="572"/>
      <c r="Q24" s="572"/>
      <c r="R24" s="572"/>
      <c r="S24" s="207"/>
      <c r="T24" s="207"/>
    </row>
    <row r="25" spans="2:20" s="252" customFormat="1" ht="15" customHeight="1">
      <c r="C25" s="320" t="str">
        <f>IF(Indice_index!$Z$1=1,"Despesa corrente","Current expenditure")</f>
        <v>Current expenditure</v>
      </c>
      <c r="D25" s="320">
        <f>'2 - Conta Consol AP'!K29</f>
        <v>34424.956439945046</v>
      </c>
      <c r="E25" s="320">
        <f>'2 - Conta Consol AP'!Q29</f>
        <v>34197.237352448741</v>
      </c>
      <c r="F25" s="320">
        <v>-429.59171266228594</v>
      </c>
      <c r="G25" s="320">
        <f t="shared" ref="G25:G37" si="3">+E25-D25</f>
        <v>-227.71908749630529</v>
      </c>
      <c r="H25" s="1342">
        <v>-1.5362667342579492</v>
      </c>
      <c r="I25" s="1342">
        <f t="shared" ref="I25:I31" si="4">IFERROR(IF(ABS(+G25/D25*100)&gt;500,"-",+G25/D25*100),"-")</f>
        <v>-0.66149419213809413</v>
      </c>
      <c r="J25" s="320">
        <f>+G25/$D$39*100</f>
        <v>-0.61672555910491378</v>
      </c>
      <c r="K25" s="587"/>
      <c r="L25" s="588"/>
      <c r="M25" s="589"/>
      <c r="N25" s="589"/>
      <c r="O25" s="589"/>
      <c r="P25" s="589"/>
      <c r="Q25" s="589"/>
      <c r="R25" s="589"/>
      <c r="S25" s="589"/>
      <c r="T25" s="589"/>
    </row>
    <row r="26" spans="2:20" ht="15" customHeight="1">
      <c r="C26" s="688" t="str">
        <f>IF(Indice_index!$Z$1=1,"Despesas com o pessoal","Compensation of employees")</f>
        <v>Compensation of employees</v>
      </c>
      <c r="D26" s="180">
        <f>'2 - Conta Consol AP'!K30</f>
        <v>8553.1758384358054</v>
      </c>
      <c r="E26" s="180">
        <f>'2 - Conta Consol AP'!Q30</f>
        <v>8742.961289473089</v>
      </c>
      <c r="F26" s="180">
        <v>131.30809320172739</v>
      </c>
      <c r="G26" s="180">
        <f t="shared" si="3"/>
        <v>189.78545103728356</v>
      </c>
      <c r="H26" s="1491">
        <v>1.9285027004968456</v>
      </c>
      <c r="I26" s="1491">
        <f t="shared" si="4"/>
        <v>2.2188886867546418</v>
      </c>
      <c r="J26" s="180">
        <f>+G26/$D$39*100</f>
        <v>0.5139908985576187</v>
      </c>
      <c r="K26" s="208"/>
      <c r="L26" s="209"/>
      <c r="M26" s="207"/>
      <c r="N26" s="207"/>
      <c r="O26" s="207"/>
      <c r="P26" s="207"/>
      <c r="Q26" s="207"/>
      <c r="R26" s="207"/>
      <c r="S26" s="207"/>
      <c r="T26" s="207"/>
    </row>
    <row r="27" spans="2:20" ht="15" customHeight="1">
      <c r="C27" s="688" t="str">
        <f>IF(Indice_index!$Z$1=1,"Aquisição de bens e serviços","Purchase of goods and services")</f>
        <v>Purchase of goods and services</v>
      </c>
      <c r="D27" s="180">
        <f>'2 - Conta Consol AP'!K34</f>
        <v>4742.4082433258163</v>
      </c>
      <c r="E27" s="180">
        <f>'2 - Conta Consol AP'!Q34</f>
        <v>5313.4032423374019</v>
      </c>
      <c r="F27" s="180">
        <v>296.62605801833888</v>
      </c>
      <c r="G27" s="180">
        <f t="shared" si="3"/>
        <v>570.99499901158561</v>
      </c>
      <c r="H27" s="1491">
        <v>8.0880822468505755</v>
      </c>
      <c r="I27" s="1491">
        <f t="shared" si="4"/>
        <v>12.040190757832164</v>
      </c>
      <c r="J27" s="180">
        <f>+G27/$D$39*100</f>
        <v>1.546410596859797</v>
      </c>
      <c r="K27" s="208"/>
      <c r="L27" s="209"/>
      <c r="M27" s="207"/>
      <c r="N27" s="207"/>
      <c r="O27" s="207"/>
      <c r="P27" s="207"/>
      <c r="Q27" s="207"/>
      <c r="R27" s="207"/>
      <c r="S27" s="207"/>
      <c r="T27" s="207"/>
    </row>
    <row r="28" spans="2:20" s="570" customFormat="1" ht="15" customHeight="1">
      <c r="B28" s="138"/>
      <c r="C28" s="688" t="str">
        <f>IF(Indice_index!$Z$1=1,"Juros e outros encargos","Interests and other charges")</f>
        <v>Interests and other charges</v>
      </c>
      <c r="D28" s="180">
        <f>'2 - Conta Consol AP'!K35</f>
        <v>3357.718260306598</v>
      </c>
      <c r="E28" s="180">
        <f>'2 - Conta Consol AP'!Q35</f>
        <v>2907.2278495736509</v>
      </c>
      <c r="F28" s="180">
        <v>-368.29540704095189</v>
      </c>
      <c r="G28" s="180">
        <f t="shared" si="3"/>
        <v>-450.49041073294711</v>
      </c>
      <c r="H28" s="1491">
        <v>-11.536781894188266</v>
      </c>
      <c r="I28" s="1491">
        <f t="shared" si="4"/>
        <v>-13.416563743850629</v>
      </c>
      <c r="J28" s="180">
        <f>+G28/$D$39*100</f>
        <v>-1.220051219620256</v>
      </c>
      <c r="K28" s="208"/>
      <c r="L28" s="209"/>
      <c r="M28" s="207"/>
      <c r="N28" s="207"/>
      <c r="O28" s="572"/>
      <c r="P28" s="572"/>
      <c r="Q28" s="572"/>
      <c r="R28" s="572"/>
      <c r="S28" s="207"/>
      <c r="T28" s="207"/>
    </row>
    <row r="29" spans="2:20" ht="15" customHeight="1">
      <c r="C29" s="688" t="str">
        <f>IF(Indice_index!$Z$1=1,"Transferências correntes","Current transfers")</f>
        <v>Current transfers</v>
      </c>
      <c r="D29" s="180">
        <f>'2 - Conta Consol AP'!K36</f>
        <v>16689.635657512692</v>
      </c>
      <c r="E29" s="180">
        <f>'2 - Conta Consol AP'!Q36</f>
        <v>16069.822109480348</v>
      </c>
      <c r="F29" s="180">
        <v>-644.54933433738915</v>
      </c>
      <c r="G29" s="180">
        <f t="shared" si="3"/>
        <v>-619.81354803234353</v>
      </c>
      <c r="H29" s="1491">
        <v>-4.784659367866217</v>
      </c>
      <c r="I29" s="1491">
        <f t="shared" si="4"/>
        <v>-3.7137632046110003</v>
      </c>
      <c r="J29" s="180">
        <f>+G29/$D$39*100</f>
        <v>-1.6786245771217987</v>
      </c>
      <c r="K29" s="208"/>
      <c r="L29" s="209"/>
      <c r="M29" s="207"/>
      <c r="N29" s="207"/>
      <c r="O29" s="207"/>
      <c r="P29" s="207"/>
      <c r="Q29" s="207"/>
      <c r="R29" s="207"/>
      <c r="S29" s="207"/>
      <c r="T29" s="207"/>
    </row>
    <row r="30" spans="2:20" ht="15" customHeight="1">
      <c r="C30" s="688" t="str">
        <f>IF(Indice_index!$Z$1=1,"Subsídios","Subsidies")</f>
        <v>Subsidies</v>
      </c>
      <c r="D30" s="180">
        <f>'2 - Conta Consol AP'!K39</f>
        <v>814.73358058580061</v>
      </c>
      <c r="E30" s="180">
        <f>'2 - Conta Consol AP'!Q39</f>
        <v>869.35584247961481</v>
      </c>
      <c r="F30" s="180">
        <v>95.717394427733666</v>
      </c>
      <c r="G30" s="180">
        <f t="shared" si="3"/>
        <v>54.622261893814198</v>
      </c>
      <c r="H30" s="1491">
        <v>14.8666151486591</v>
      </c>
      <c r="I30" s="1491">
        <f t="shared" si="4"/>
        <v>6.7043096289882049</v>
      </c>
      <c r="J30" s="180">
        <f t="shared" ref="J30:J35" si="5">+G30/$D$39*100</f>
        <v>0.14793202175721942</v>
      </c>
      <c r="K30" s="208"/>
      <c r="L30" s="209"/>
      <c r="M30" s="207"/>
      <c r="N30" s="207"/>
      <c r="O30" s="207"/>
      <c r="P30" s="207"/>
      <c r="Q30" s="207"/>
      <c r="R30" s="207"/>
      <c r="S30" s="207"/>
      <c r="T30" s="207"/>
    </row>
    <row r="31" spans="2:20" ht="15" customHeight="1">
      <c r="C31" s="688" t="str">
        <f>IF(Indice_index!$Z$1=1,"Outras despesas correntes","Other current expenditures")</f>
        <v>Other current expenditures</v>
      </c>
      <c r="D31" s="180">
        <f>'2 - Conta Consol AP'!K40</f>
        <v>249.92196628832977</v>
      </c>
      <c r="E31" s="180">
        <f>'2 - Conta Consol AP'!Q40</f>
        <v>282.92492394463665</v>
      </c>
      <c r="F31" s="180">
        <v>50.045513178255163</v>
      </c>
      <c r="G31" s="180">
        <f t="shared" si="3"/>
        <v>33.002957656306876</v>
      </c>
      <c r="H31" s="1491">
        <v>29.623967687705605</v>
      </c>
      <c r="I31" s="1491">
        <f t="shared" si="4"/>
        <v>13.205304898342568</v>
      </c>
      <c r="J31" s="180">
        <f t="shared" si="5"/>
        <v>8.9381034047187155E-2</v>
      </c>
      <c r="K31" s="208"/>
      <c r="L31" s="209"/>
      <c r="M31" s="207"/>
      <c r="N31" s="207"/>
      <c r="O31" s="207"/>
      <c r="P31" s="207"/>
      <c r="Q31" s="207"/>
      <c r="R31" s="207"/>
      <c r="S31" s="207"/>
      <c r="T31" s="207"/>
    </row>
    <row r="32" spans="2:20" ht="15" customHeight="1">
      <c r="C32" s="688" t="str">
        <f>IF(Indice_index!$Z$1=1,"Diferenças de consolidação","Consolidation differences")</f>
        <v>Consolidation differences</v>
      </c>
      <c r="D32" s="180">
        <f>'2 - Conta Consol AP'!K41</f>
        <v>17.362893489999976</v>
      </c>
      <c r="E32" s="180">
        <f>'2 - Conta Consol AP'!Q41</f>
        <v>11.542095160001026</v>
      </c>
      <c r="F32" s="180">
        <v>9.5559698899999859</v>
      </c>
      <c r="G32" s="180">
        <f t="shared" si="3"/>
        <v>-5.8207983299989507</v>
      </c>
      <c r="H32" s="1491" t="s">
        <v>3</v>
      </c>
      <c r="I32" s="1493" t="s">
        <v>3</v>
      </c>
      <c r="J32" s="180">
        <f t="shared" si="5"/>
        <v>-1.5764313584665124E-2</v>
      </c>
      <c r="K32" s="208"/>
      <c r="L32" s="209"/>
      <c r="M32" s="207"/>
      <c r="N32" s="207"/>
      <c r="O32" s="207"/>
      <c r="P32" s="207"/>
      <c r="Q32" s="207"/>
      <c r="R32" s="207"/>
      <c r="S32" s="207"/>
      <c r="T32" s="207"/>
    </row>
    <row r="33" spans="2:20" s="252" customFormat="1" ht="15" customHeight="1">
      <c r="C33" s="320" t="str">
        <f>IF(Indice_index!$Z$1=1,"Despesa de capital","Capital expenditure")</f>
        <v>Capital expenditure</v>
      </c>
      <c r="D33" s="320">
        <f>'2 - Conta Consol AP'!K42</f>
        <v>2498.9368760391299</v>
      </c>
      <c r="E33" s="320">
        <f>'2 - Conta Consol AP'!Q42</f>
        <v>2525.7680064670117</v>
      </c>
      <c r="F33" s="320">
        <v>-100.17056577814529</v>
      </c>
      <c r="G33" s="320">
        <f t="shared" si="3"/>
        <v>26.831130427881817</v>
      </c>
      <c r="H33" s="1342">
        <v>-4.9062544009208757</v>
      </c>
      <c r="I33" s="1342">
        <f>IFERROR(IF(ABS(+G33/D33*100)&gt;500,"-",+G33/D33*100),"-")</f>
        <v>1.0737018083629928</v>
      </c>
      <c r="J33" s="320">
        <f t="shared" si="5"/>
        <v>7.2666038216145395E-2</v>
      </c>
      <c r="K33" s="587"/>
      <c r="L33" s="588"/>
      <c r="M33" s="589"/>
      <c r="N33" s="589"/>
      <c r="O33" s="589"/>
      <c r="P33" s="589"/>
      <c r="Q33" s="589"/>
      <c r="R33" s="589"/>
      <c r="S33" s="589"/>
      <c r="T33" s="589"/>
    </row>
    <row r="34" spans="2:20" ht="15" customHeight="1">
      <c r="C34" s="688" t="str">
        <f>IF(Indice_index!$Z$1=1,"Investimentos","Investments")</f>
        <v>Investments</v>
      </c>
      <c r="D34" s="180">
        <f>'2 - Conta Consol AP'!K43</f>
        <v>2040.3143962828171</v>
      </c>
      <c r="E34" s="180">
        <f>'2 - Conta Consol AP'!Q43</f>
        <v>2120.0806343121608</v>
      </c>
      <c r="F34" s="180">
        <v>-84.386048062719283</v>
      </c>
      <c r="G34" s="180">
        <f t="shared" si="3"/>
        <v>79.76623802934364</v>
      </c>
      <c r="H34" s="1491">
        <v>-4.9483438190020008</v>
      </c>
      <c r="I34" s="1491">
        <f>IFERROR(IF(ABS(+G34/D34*100)&gt;500,"-",+G34/D34*100),"-")</f>
        <v>3.9095071903951255</v>
      </c>
      <c r="J34" s="180">
        <f t="shared" si="5"/>
        <v>0.21602878479451468</v>
      </c>
      <c r="K34" s="208"/>
      <c r="L34" s="209"/>
      <c r="M34" s="207"/>
      <c r="N34" s="207"/>
      <c r="O34" s="207"/>
      <c r="P34" s="207"/>
      <c r="Q34" s="207"/>
      <c r="R34" s="207"/>
      <c r="S34" s="207"/>
      <c r="T34" s="207"/>
    </row>
    <row r="35" spans="2:20" ht="15" customHeight="1">
      <c r="C35" s="688" t="str">
        <f>IF(Indice_index!$Z$1=1,"Transferências de capital","Capital transfers")</f>
        <v>Capital transfers</v>
      </c>
      <c r="D35" s="180">
        <f>'2 - Conta Consol AP'!K44</f>
        <v>442.6131785621622</v>
      </c>
      <c r="E35" s="180">
        <f>'2 - Conta Consol AP'!Q44</f>
        <v>370.62855140998897</v>
      </c>
      <c r="F35" s="180">
        <v>-30.324537166319658</v>
      </c>
      <c r="G35" s="180">
        <f t="shared" si="3"/>
        <v>-71.984627152173232</v>
      </c>
      <c r="H35" s="1491">
        <v>-9.2931386023561711</v>
      </c>
      <c r="I35" s="1491">
        <f>IFERROR(IF(ABS(+G35/D35*100)&gt;500,"-",+G35/D35*100),"-")</f>
        <v>-16.263552609530681</v>
      </c>
      <c r="J35" s="180">
        <f t="shared" si="5"/>
        <v>-0.19495405464464233</v>
      </c>
      <c r="K35" s="208"/>
      <c r="L35" s="209"/>
      <c r="M35" s="207"/>
      <c r="N35" s="207"/>
      <c r="O35" s="207"/>
      <c r="P35" s="207"/>
      <c r="Q35" s="207"/>
      <c r="R35" s="207"/>
      <c r="S35" s="207"/>
      <c r="T35" s="207"/>
    </row>
    <row r="36" spans="2:20" ht="15" customHeight="1">
      <c r="C36" s="688" t="str">
        <f>IF(Indice_index!$Z$1=1,"Outras despesas de capital","Other capital expenditures")</f>
        <v>Other capital expenditures</v>
      </c>
      <c r="D36" s="180">
        <f>'2 - Conta Consol AP'!K47</f>
        <v>12.308394314150386</v>
      </c>
      <c r="E36" s="180">
        <f>'2 - Conta Consol AP'!Q47</f>
        <v>21.210745304861497</v>
      </c>
      <c r="F36" s="180">
        <v>7.4629650508934535</v>
      </c>
      <c r="G36" s="180">
        <f t="shared" si="3"/>
        <v>8.9023509907111116</v>
      </c>
      <c r="H36" s="1491">
        <v>128.83342478742929</v>
      </c>
      <c r="I36" s="1491">
        <f>IFERROR(IF(ABS(+G36/D36*100)&gt;500,"-",+G36/D36*100),"-")</f>
        <v>72.327476383141985</v>
      </c>
      <c r="J36" s="180">
        <f>+G36/$D$39*100</f>
        <v>2.4110000845596977E-2</v>
      </c>
      <c r="K36" s="208"/>
      <c r="L36" s="209"/>
      <c r="M36" s="207"/>
      <c r="N36" s="207"/>
      <c r="O36" s="207"/>
      <c r="P36" s="207"/>
      <c r="Q36" s="207"/>
      <c r="R36" s="207"/>
      <c r="S36" s="207"/>
      <c r="T36" s="207"/>
    </row>
    <row r="37" spans="2:20" ht="15" customHeight="1">
      <c r="C37" s="688" t="str">
        <f>IF(Indice_index!$Z$1=1,"Diferenças de consolidação","Consolidation differences")</f>
        <v>Consolidation differences</v>
      </c>
      <c r="D37" s="180">
        <f>'2 - Conta Consol AP'!K48</f>
        <v>3.7009068799999767</v>
      </c>
      <c r="E37" s="180">
        <f>'2 - Conta Consol AP'!Q48</f>
        <v>13.848075440000116</v>
      </c>
      <c r="F37" s="180">
        <v>7.0770544000002005</v>
      </c>
      <c r="G37" s="180">
        <f t="shared" si="3"/>
        <v>10.147168560000139</v>
      </c>
      <c r="H37" s="1491" t="s">
        <v>3</v>
      </c>
      <c r="I37" s="1493" t="s">
        <v>3</v>
      </c>
      <c r="J37" s="180">
        <f>+G37/$D$39*100</f>
        <v>2.7481307220675669E-2</v>
      </c>
      <c r="K37" s="208"/>
      <c r="L37" s="209"/>
      <c r="M37" s="207"/>
      <c r="N37" s="207"/>
      <c r="O37" s="207"/>
      <c r="P37" s="207"/>
      <c r="Q37" s="207"/>
      <c r="R37" s="207"/>
      <c r="S37" s="207"/>
      <c r="T37" s="207"/>
    </row>
    <row r="38" spans="2:20" ht="4.5" customHeight="1">
      <c r="B38" s="570"/>
      <c r="C38" s="685"/>
      <c r="D38" s="1498"/>
      <c r="E38" s="1498"/>
      <c r="F38" s="1498"/>
      <c r="G38" s="1498"/>
      <c r="H38" s="1499"/>
      <c r="I38" s="1499"/>
      <c r="J38" s="1498"/>
      <c r="K38" s="208"/>
      <c r="L38" s="209"/>
      <c r="M38" s="207"/>
      <c r="N38" s="207"/>
      <c r="O38" s="207"/>
      <c r="P38" s="207"/>
      <c r="Q38" s="207"/>
      <c r="R38" s="207"/>
      <c r="S38" s="207"/>
      <c r="T38" s="207"/>
    </row>
    <row r="39" spans="2:20" s="252" customFormat="1" ht="15" customHeight="1">
      <c r="C39" s="1496" t="str">
        <f>IF(Indice_index!$Z$1=1,"Despesa efetiva","Effective expenditure")</f>
        <v>Effective expenditure</v>
      </c>
      <c r="D39" s="1496">
        <f>'2 - Conta Consol AP'!K50</f>
        <v>36923.893315984176</v>
      </c>
      <c r="E39" s="1496">
        <f>'2 - Conta Consol AP'!Q50</f>
        <v>36723.005358915754</v>
      </c>
      <c r="F39" s="1496">
        <v>-529.76227844043126</v>
      </c>
      <c r="G39" s="1496">
        <f>+E39-D39</f>
        <v>-200.88795706842211</v>
      </c>
      <c r="H39" s="1497">
        <v>-1.7655773084752948</v>
      </c>
      <c r="I39" s="1497">
        <f>IFERROR(IF(ABS(+G39/D39*100)&gt;500,"-",+G39/D39*100),"-")</f>
        <v>-0.54405952088876475</v>
      </c>
      <c r="J39" s="1496"/>
      <c r="K39" s="587"/>
      <c r="L39" s="588"/>
      <c r="M39" s="589"/>
      <c r="N39" s="589"/>
      <c r="O39" s="589"/>
      <c r="P39" s="589"/>
      <c r="Q39" s="589"/>
      <c r="R39" s="589"/>
      <c r="S39" s="589"/>
      <c r="T39" s="589"/>
    </row>
    <row r="40" spans="2:20" ht="4.5" customHeight="1">
      <c r="B40" s="570"/>
      <c r="C40" s="688"/>
      <c r="D40" s="333"/>
      <c r="E40" s="333"/>
      <c r="F40" s="333"/>
      <c r="G40" s="333"/>
      <c r="H40" s="1500"/>
      <c r="I40" s="1500"/>
      <c r="J40" s="333"/>
      <c r="K40" s="208"/>
      <c r="L40" s="209"/>
      <c r="M40" s="207"/>
      <c r="N40" s="207"/>
      <c r="O40" s="207"/>
      <c r="P40" s="207"/>
      <c r="Q40" s="207"/>
      <c r="R40" s="207"/>
      <c r="S40" s="207"/>
      <c r="T40" s="207"/>
    </row>
    <row r="41" spans="2:20" s="252" customFormat="1" ht="15" customHeight="1">
      <c r="C41" s="1496" t="str">
        <f>IF(Indice_index!$Z$1=1,"Saldo global","Overall balance")</f>
        <v>Overall balance</v>
      </c>
      <c r="D41" s="1496">
        <f>D23-D39</f>
        <v>-5593.6656518118725</v>
      </c>
      <c r="E41" s="1496">
        <f>E23-E39</f>
        <v>-410.62101228591928</v>
      </c>
      <c r="F41" s="1496">
        <v>4272.3965263323553</v>
      </c>
      <c r="G41" s="1496">
        <f>+E41-D41</f>
        <v>5183.0446395259532</v>
      </c>
      <c r="H41" s="1497" t="s">
        <v>3</v>
      </c>
      <c r="I41" s="1497"/>
      <c r="J41" s="1496"/>
      <c r="K41" s="587"/>
      <c r="L41" s="588"/>
      <c r="M41" s="589"/>
      <c r="N41" s="589"/>
      <c r="O41" s="589"/>
      <c r="P41" s="589"/>
      <c r="Q41" s="589"/>
      <c r="R41" s="589"/>
      <c r="S41" s="589"/>
      <c r="T41" s="589"/>
    </row>
    <row r="42" spans="2:20" s="570" customFormat="1" ht="15" customHeight="1">
      <c r="B42" s="138"/>
      <c r="C42" s="683" t="str">
        <f>IF(Indice_index!$Z$1=1,"Despesa primária","Primary expenditure")</f>
        <v>Primary expenditure</v>
      </c>
      <c r="D42" s="684">
        <f>D39-D28</f>
        <v>33566.175055677581</v>
      </c>
      <c r="E42" s="684">
        <f>E39-E28</f>
        <v>33815.777509342101</v>
      </c>
      <c r="F42" s="684">
        <v>-161.46687139947937</v>
      </c>
      <c r="G42" s="684">
        <f>+E42-D42</f>
        <v>249.60245366452</v>
      </c>
      <c r="H42" s="1501">
        <v>-0.60220323518205987</v>
      </c>
      <c r="I42" s="1501">
        <f>IFERROR(IF(ABS(+G42/D42*100)&gt;500,"-",+G42/D42*100),"-")</f>
        <v>0.74361303678627144</v>
      </c>
      <c r="J42" s="684"/>
      <c r="K42" s="208"/>
      <c r="L42" s="209"/>
      <c r="M42" s="207"/>
      <c r="N42" s="207"/>
      <c r="O42" s="207"/>
      <c r="P42" s="207"/>
      <c r="Q42" s="207"/>
      <c r="R42" s="207"/>
      <c r="S42" s="207"/>
      <c r="T42" s="207"/>
    </row>
    <row r="43" spans="2:20" ht="15" customHeight="1">
      <c r="C43" s="683" t="str">
        <f>IF(Indice_index!$Z$1=1,"Saldo corrente","Current balance")</f>
        <v>Current balance</v>
      </c>
      <c r="D43" s="684">
        <f>D9-D25</f>
        <v>-4014.0890031749695</v>
      </c>
      <c r="E43" s="684">
        <f>E9-E25</f>
        <v>1066.0339280553526</v>
      </c>
      <c r="F43" s="684">
        <v>4113.2739609779228</v>
      </c>
      <c r="G43" s="684">
        <f>+E43-D43</f>
        <v>5080.1229312303221</v>
      </c>
      <c r="H43" s="1501" t="s">
        <v>3</v>
      </c>
      <c r="I43" s="1501"/>
      <c r="J43" s="684"/>
      <c r="K43" s="208"/>
      <c r="L43" s="209"/>
      <c r="M43" s="207"/>
      <c r="N43" s="207"/>
      <c r="O43" s="207"/>
      <c r="P43" s="207"/>
      <c r="Q43" s="207"/>
      <c r="R43" s="207"/>
      <c r="S43" s="207"/>
      <c r="T43" s="207"/>
    </row>
    <row r="44" spans="2:20" s="570" customFormat="1" ht="15" customHeight="1">
      <c r="B44" s="138"/>
      <c r="C44" s="683" t="str">
        <f>IF(Indice_index!$Z$1=1,"Saldo de capital","Capital balance")</f>
        <v>Capital balance</v>
      </c>
      <c r="D44" s="180">
        <f>D17-D33</f>
        <v>-1579.5766486369025</v>
      </c>
      <c r="E44" s="180">
        <f>E17-E33</f>
        <v>-1476.6549403412737</v>
      </c>
      <c r="F44" s="180">
        <v>159.12256535443225</v>
      </c>
      <c r="G44" s="180">
        <f>+E44-D44</f>
        <v>102.92170829562883</v>
      </c>
      <c r="H44" s="1491" t="s">
        <v>3</v>
      </c>
      <c r="I44" s="1491"/>
      <c r="J44" s="180"/>
      <c r="K44" s="208"/>
      <c r="L44" s="209"/>
      <c r="M44" s="207"/>
      <c r="N44" s="207"/>
      <c r="O44" s="207"/>
      <c r="P44" s="207"/>
      <c r="Q44" s="207"/>
      <c r="R44" s="207"/>
      <c r="S44" s="207"/>
      <c r="T44" s="207"/>
    </row>
    <row r="45" spans="2:20" ht="15" customHeight="1">
      <c r="B45" s="169"/>
      <c r="C45" s="1502" t="str">
        <f>IF(Indice_index!$Z$1=1,"Saldo primário","Primary balance")</f>
        <v>Primary balance</v>
      </c>
      <c r="D45" s="1503">
        <f>D28+D41</f>
        <v>-2235.9473915052745</v>
      </c>
      <c r="E45" s="1503">
        <f>E28+E41</f>
        <v>2496.6068372877317</v>
      </c>
      <c r="F45" s="1503">
        <v>3904.1011192914034</v>
      </c>
      <c r="G45" s="1503">
        <f>+E45-D45</f>
        <v>4732.5542287930057</v>
      </c>
      <c r="H45" s="1503" t="s">
        <v>3</v>
      </c>
      <c r="I45" s="1503"/>
      <c r="J45" s="1503"/>
      <c r="K45" s="208"/>
      <c r="L45" s="209"/>
      <c r="M45" s="207"/>
      <c r="N45" s="207"/>
      <c r="O45" s="207"/>
      <c r="P45" s="207"/>
      <c r="Q45" s="207"/>
      <c r="R45" s="207"/>
      <c r="S45" s="207"/>
      <c r="T45" s="207"/>
    </row>
    <row r="46" spans="2:20" ht="15" hidden="1" customHeight="1">
      <c r="C46" s="726"/>
      <c r="D46" s="725"/>
      <c r="E46" s="725"/>
      <c r="F46" s="725"/>
      <c r="G46" s="725"/>
      <c r="H46" s="725"/>
      <c r="I46" s="725"/>
      <c r="J46" s="725"/>
      <c r="K46" s="208"/>
      <c r="L46" s="209"/>
      <c r="M46" s="207"/>
      <c r="N46" s="207"/>
      <c r="O46" s="207"/>
      <c r="P46" s="207"/>
      <c r="Q46" s="207"/>
      <c r="R46" s="207"/>
      <c r="S46" s="207"/>
      <c r="T46" s="207"/>
    </row>
    <row r="47" spans="2:20" ht="13.5" customHeight="1">
      <c r="C47" s="727" t="str">
        <f>IF(Indice_index!$Z$1=1,"Fonte: Direção-Geral do Orçamento","Source: Budget General Directorate")</f>
        <v>Source: Budget General Directorate</v>
      </c>
      <c r="D47" s="724"/>
      <c r="E47" s="724"/>
      <c r="F47" s="724"/>
      <c r="G47" s="724"/>
      <c r="H47" s="724"/>
      <c r="I47" s="724"/>
      <c r="J47" s="724"/>
      <c r="K47" s="208"/>
      <c r="L47" s="209"/>
      <c r="M47" s="207"/>
      <c r="N47" s="207"/>
      <c r="O47" s="207"/>
      <c r="P47" s="207"/>
      <c r="Q47" s="207"/>
      <c r="R47" s="207"/>
      <c r="S47" s="207"/>
      <c r="T47" s="207"/>
    </row>
    <row r="48" spans="2:20" s="169" customFormat="1" ht="13.5" customHeight="1">
      <c r="B48" s="138"/>
      <c r="C48" s="112"/>
      <c r="D48" s="602"/>
      <c r="E48" s="602"/>
      <c r="F48" s="602"/>
      <c r="G48" s="602"/>
      <c r="H48" s="602"/>
      <c r="I48" s="602"/>
      <c r="J48" s="602"/>
      <c r="K48" s="208"/>
      <c r="L48" s="209"/>
      <c r="M48" s="207"/>
      <c r="N48" s="207"/>
      <c r="O48" s="207"/>
      <c r="P48" s="207"/>
      <c r="Q48" s="207"/>
      <c r="R48" s="207"/>
      <c r="S48" s="207"/>
      <c r="T48" s="207"/>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I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B2" sqref="B2"/>
    </sheetView>
  </sheetViews>
  <sheetFormatPr defaultColWidth="9.140625" defaultRowHeight="12.75"/>
  <cols>
    <col min="1" max="1" width="2.5703125" style="189" customWidth="1"/>
    <col min="2" max="2" width="5.140625" style="189" customWidth="1"/>
    <col min="3" max="3" width="23.5703125" style="189" customWidth="1"/>
    <col min="4" max="4" width="1" style="189" customWidth="1"/>
    <col min="5" max="5" width="9.42578125" style="189" customWidth="1"/>
    <col min="6" max="6" width="8.5703125" style="189" customWidth="1"/>
    <col min="7" max="7" width="1" style="189" customWidth="1"/>
    <col min="8" max="8" width="7.42578125" style="190" customWidth="1"/>
    <col min="9" max="9" width="7.42578125" style="192" customWidth="1"/>
    <col min="10" max="10" width="7.42578125" style="362" customWidth="1"/>
    <col min="11" max="11" width="7.42578125" style="192" customWidth="1"/>
    <col min="12" max="12" width="9.140625" style="189" customWidth="1"/>
    <col min="13" max="14" width="1" style="191" customWidth="1"/>
    <col min="15" max="15" width="1.5703125" style="189" customWidth="1"/>
    <col min="16" max="16" width="9.140625" style="189" customWidth="1"/>
    <col min="17" max="17" width="11.42578125" style="189" customWidth="1"/>
    <col min="18" max="18" width="8.42578125" style="190" customWidth="1"/>
    <col min="19" max="21" width="9.140625" style="190"/>
    <col min="22" max="16384" width="9.140625" style="189"/>
  </cols>
  <sheetData>
    <row r="1" spans="2:18" s="190" customFormat="1">
      <c r="B1" s="205"/>
      <c r="C1" s="205"/>
      <c r="D1" s="189"/>
      <c r="E1" s="189"/>
      <c r="F1" s="189"/>
      <c r="G1" s="189"/>
      <c r="I1" s="192"/>
      <c r="J1" s="362"/>
      <c r="K1" s="192"/>
      <c r="L1" s="189"/>
      <c r="M1" s="191"/>
      <c r="N1" s="191"/>
      <c r="O1" s="189"/>
      <c r="P1" s="189"/>
      <c r="Q1" s="189"/>
    </row>
    <row r="2" spans="2:18" s="190" customFormat="1" ht="24" customHeight="1">
      <c r="B2" s="204"/>
      <c r="C2" s="9" t="str">
        <f>IF(Indice_index!$Z$1=1,"Síntese Global","Global Summary")</f>
        <v>Global Summary</v>
      </c>
      <c r="D2" s="9"/>
      <c r="E2" s="201"/>
      <c r="F2" s="201"/>
      <c r="G2" s="201"/>
      <c r="H2" s="361"/>
      <c r="I2" s="201"/>
      <c r="J2" s="361"/>
      <c r="K2" s="201"/>
      <c r="L2" s="189"/>
      <c r="M2" s="191"/>
      <c r="N2" s="191"/>
      <c r="O2" s="189"/>
      <c r="P2" s="189"/>
      <c r="Q2" s="203"/>
    </row>
    <row r="3" spans="2:18" s="190" customFormat="1" ht="11.25" customHeight="1">
      <c r="B3" s="189"/>
      <c r="C3" s="202"/>
      <c r="D3" s="201"/>
      <c r="E3" s="201"/>
      <c r="F3" s="201"/>
      <c r="G3" s="201"/>
      <c r="H3" s="361"/>
      <c r="I3" s="201"/>
      <c r="J3" s="361"/>
      <c r="K3" s="189"/>
      <c r="L3" s="189"/>
      <c r="M3" s="191"/>
      <c r="N3" s="191"/>
      <c r="O3" s="189"/>
      <c r="P3" s="189"/>
      <c r="Q3" s="189"/>
    </row>
    <row r="4" spans="2:18" s="190" customFormat="1" ht="11.25" customHeight="1">
      <c r="B4" s="191"/>
      <c r="C4" s="191"/>
      <c r="D4" s="191"/>
      <c r="E4" s="191"/>
      <c r="F4" s="191"/>
      <c r="G4" s="191"/>
      <c r="H4" s="333"/>
      <c r="I4" s="191"/>
      <c r="J4" s="333"/>
      <c r="K4" s="191"/>
      <c r="L4" s="191"/>
      <c r="M4" s="191"/>
      <c r="N4" s="191"/>
      <c r="O4" s="189"/>
      <c r="P4" s="189"/>
      <c r="Q4" s="189"/>
    </row>
    <row r="5" spans="2:18" s="190" customFormat="1" ht="11.25" customHeight="1">
      <c r="B5" s="191"/>
      <c r="C5" s="191"/>
      <c r="D5" s="191"/>
      <c r="E5" s="191"/>
      <c r="F5" s="191"/>
      <c r="G5" s="191"/>
      <c r="H5" s="333"/>
      <c r="I5" s="191"/>
      <c r="J5" s="333"/>
      <c r="K5" s="191"/>
      <c r="L5" s="191"/>
      <c r="M5" s="191"/>
      <c r="N5" s="191"/>
      <c r="O5" s="189"/>
      <c r="P5" s="189"/>
      <c r="Q5" s="189"/>
    </row>
    <row r="6" spans="2:18" s="255" customFormat="1">
      <c r="B6" s="253"/>
      <c r="C6" s="542" t="s">
        <v>55</v>
      </c>
      <c r="D6" s="345"/>
      <c r="E6" s="345"/>
      <c r="F6" s="345"/>
      <c r="G6" s="345"/>
      <c r="H6" s="345"/>
      <c r="I6" s="345"/>
      <c r="J6" s="345"/>
      <c r="K6" s="345"/>
      <c r="L6" s="345"/>
      <c r="M6" s="253"/>
      <c r="N6" s="253"/>
      <c r="O6" s="254"/>
      <c r="P6" s="254"/>
      <c r="Q6" s="254"/>
    </row>
    <row r="7" spans="2:18" s="255" customFormat="1">
      <c r="B7" s="253"/>
      <c r="C7" s="345"/>
      <c r="D7" s="345"/>
      <c r="E7" s="345"/>
      <c r="F7" s="345"/>
      <c r="G7" s="345"/>
      <c r="H7" s="345"/>
      <c r="I7" s="345"/>
      <c r="J7" s="345"/>
      <c r="K7" s="345"/>
      <c r="L7" s="345"/>
      <c r="M7" s="253"/>
      <c r="N7" s="253"/>
      <c r="O7" s="254"/>
      <c r="P7" s="254"/>
      <c r="Q7" s="254"/>
    </row>
    <row r="8" spans="2:18" s="255" customFormat="1" ht="15.75">
      <c r="B8" s="253"/>
      <c r="C8" s="697" t="str">
        <f>+'6 - Conta AC'!C4</f>
        <v>Period: January to May</v>
      </c>
      <c r="D8" s="698"/>
      <c r="E8" s="699"/>
      <c r="F8" s="699"/>
      <c r="G8" s="699"/>
      <c r="H8" s="699"/>
      <c r="I8" s="699"/>
      <c r="J8" s="699"/>
      <c r="K8" s="700"/>
      <c r="L8" s="701" t="str">
        <f>IF(Indice_index!$Z$1=1,"€ Milhões","€ Millions")</f>
        <v>€ Millions</v>
      </c>
      <c r="N8" s="254"/>
      <c r="O8" s="254"/>
      <c r="P8" s="254"/>
      <c r="Q8" s="254"/>
    </row>
    <row r="9" spans="2:18" s="190" customFormat="1" ht="18.75" customHeight="1">
      <c r="B9" s="191"/>
      <c r="C9" s="1652" t="s">
        <v>54</v>
      </c>
      <c r="D9" s="702"/>
      <c r="E9" s="1655" t="s">
        <v>95</v>
      </c>
      <c r="F9" s="1655"/>
      <c r="G9" s="703"/>
      <c r="H9" s="1661" t="s">
        <v>94</v>
      </c>
      <c r="I9" s="1661"/>
      <c r="J9" s="1661"/>
      <c r="K9" s="1661"/>
      <c r="L9" s="1657" t="str">
        <f>"Contributo VHA " &amp; "
(em p.p.)"</f>
        <v>Contributo VHA 
(em p.p.)</v>
      </c>
      <c r="N9" s="189"/>
      <c r="O9" s="189"/>
      <c r="P9" s="189"/>
      <c r="Q9" s="1660"/>
    </row>
    <row r="10" spans="2:18" s="190" customFormat="1" ht="13.5" customHeight="1">
      <c r="B10" s="191"/>
      <c r="C10" s="1653"/>
      <c r="D10" s="704"/>
      <c r="E10" s="1656"/>
      <c r="F10" s="1656"/>
      <c r="G10" s="705"/>
      <c r="H10" s="1656" t="s">
        <v>53</v>
      </c>
      <c r="I10" s="1656"/>
      <c r="J10" s="1656" t="s">
        <v>52</v>
      </c>
      <c r="K10" s="1656"/>
      <c r="L10" s="1658"/>
      <c r="N10" s="189"/>
      <c r="O10" s="189"/>
      <c r="P10" s="189"/>
      <c r="Q10" s="1660"/>
      <c r="R10" s="191"/>
    </row>
    <row r="11" spans="2:18" s="190" customFormat="1" ht="17.25" customHeight="1">
      <c r="B11" s="191"/>
      <c r="C11" s="1654"/>
      <c r="D11" s="704"/>
      <c r="E11" s="706" t="s">
        <v>68</v>
      </c>
      <c r="F11" s="706" t="s">
        <v>75</v>
      </c>
      <c r="G11" s="707"/>
      <c r="H11" s="708" t="s">
        <v>588</v>
      </c>
      <c r="I11" s="708" t="s">
        <v>594</v>
      </c>
      <c r="J11" s="708" t="s">
        <v>588</v>
      </c>
      <c r="K11" s="708" t="s">
        <v>594</v>
      </c>
      <c r="L11" s="1659"/>
      <c r="N11" s="189"/>
      <c r="O11" s="189"/>
      <c r="P11" s="189"/>
      <c r="Q11" s="200"/>
      <c r="R11" s="191"/>
    </row>
    <row r="12" spans="2:18" s="190" customFormat="1" ht="15" customHeight="1">
      <c r="B12" s="191"/>
      <c r="C12" s="709" t="s">
        <v>51</v>
      </c>
      <c r="D12" s="704"/>
      <c r="E12" s="686">
        <f>'5 - Conta AC + SS'!E30</f>
        <v>6921.0497676299992</v>
      </c>
      <c r="F12" s="686">
        <f>'5 - Conta AC + SS'!F30</f>
        <v>6972.1846672300071</v>
      </c>
      <c r="G12" s="686"/>
      <c r="H12" s="686">
        <v>40.845574940001825</v>
      </c>
      <c r="I12" s="687">
        <f>F12-E12</f>
        <v>51.134899600007884</v>
      </c>
      <c r="J12" s="687">
        <v>0.74189975610146064</v>
      </c>
      <c r="K12" s="687">
        <f t="shared" ref="K12:K18" si="0">+IFERROR(((F12/E12-1)*100),"-")</f>
        <v>0.73883155470384487</v>
      </c>
      <c r="L12" s="687">
        <f t="shared" ref="L12:L18" si="1">IFERROR((F12-E12)/$E$22*100,"-")</f>
        <v>0.14801338713590412</v>
      </c>
      <c r="N12" s="189"/>
      <c r="O12" s="189"/>
      <c r="P12" s="199"/>
      <c r="Q12" s="189"/>
      <c r="R12" s="195"/>
    </row>
    <row r="13" spans="2:18" s="190" customFormat="1" ht="15" customHeight="1">
      <c r="B13" s="191"/>
      <c r="C13" s="709" t="s">
        <v>50</v>
      </c>
      <c r="D13" s="704"/>
      <c r="E13" s="686">
        <f>'5 - Conta AC + SS'!E34</f>
        <v>3593.9554800599749</v>
      </c>
      <c r="F13" s="686">
        <f>'5 - Conta AC + SS'!F34</f>
        <v>4072.881376909997</v>
      </c>
      <c r="G13" s="707"/>
      <c r="H13" s="707">
        <v>251.42459287001429</v>
      </c>
      <c r="I13" s="686">
        <f>F13-E13</f>
        <v>478.92589685002213</v>
      </c>
      <c r="J13" s="686">
        <v>9.0658107299261381</v>
      </c>
      <c r="K13" s="687">
        <f t="shared" si="0"/>
        <v>13.325871717309923</v>
      </c>
      <c r="L13" s="687">
        <f t="shared" si="1"/>
        <v>1.3862830421957351</v>
      </c>
      <c r="N13" s="189"/>
      <c r="O13" s="189"/>
      <c r="P13" s="199"/>
      <c r="Q13" s="189"/>
      <c r="R13" s="195"/>
    </row>
    <row r="14" spans="2:18" s="190" customFormat="1" ht="15" customHeight="1">
      <c r="B14" s="191"/>
      <c r="C14" s="709" t="s">
        <v>49</v>
      </c>
      <c r="D14" s="704"/>
      <c r="E14" s="686">
        <f>'5 - Conta AC + SS'!E35</f>
        <v>3311.629273309999</v>
      </c>
      <c r="F14" s="686">
        <f>'5 - Conta AC + SS'!F35</f>
        <v>2860.69841709</v>
      </c>
      <c r="G14" s="707"/>
      <c r="H14" s="707">
        <v>-369.97142766000024</v>
      </c>
      <c r="I14" s="686">
        <f>F14-E14</f>
        <v>-450.93085621999899</v>
      </c>
      <c r="J14" s="686">
        <v>-11.678264048935294</v>
      </c>
      <c r="K14" s="687">
        <f t="shared" si="0"/>
        <v>-13.616586248172947</v>
      </c>
      <c r="L14" s="687">
        <f t="shared" si="1"/>
        <v>-1.3052495245968008</v>
      </c>
      <c r="N14" s="189"/>
      <c r="O14" s="189"/>
      <c r="P14" s="199"/>
      <c r="Q14" s="189"/>
      <c r="R14" s="195"/>
    </row>
    <row r="15" spans="2:18" s="190" customFormat="1" ht="15" customHeight="1">
      <c r="B15" s="191"/>
      <c r="C15" s="709" t="s">
        <v>48</v>
      </c>
      <c r="D15" s="704"/>
      <c r="E15" s="686">
        <f>'5 - Conta AC + SS'!E36+'5 - Conta AC + SS'!E44</f>
        <v>18664.872737729998</v>
      </c>
      <c r="F15" s="686">
        <f>'5 - Conta AC + SS'!F36+'5 - Conta AC + SS'!F44</f>
        <v>17967.031956900006</v>
      </c>
      <c r="G15" s="686"/>
      <c r="H15" s="686">
        <v>-694.9532417900009</v>
      </c>
      <c r="I15" s="686">
        <f>F15-E15</f>
        <v>-697.84078082999258</v>
      </c>
      <c r="J15" s="686">
        <v>-4.5989078884337564</v>
      </c>
      <c r="K15" s="687">
        <f t="shared" si="0"/>
        <v>-3.7387920648360273</v>
      </c>
      <c r="L15" s="687">
        <f t="shared" si="1"/>
        <v>-2.0199468163656151</v>
      </c>
      <c r="N15" s="189"/>
      <c r="O15" s="189"/>
      <c r="P15" s="199"/>
      <c r="Q15" s="189"/>
      <c r="R15" s="195"/>
    </row>
    <row r="16" spans="2:18" s="190" customFormat="1" ht="15" customHeight="1">
      <c r="B16" s="191"/>
      <c r="C16" s="709" t="s">
        <v>47</v>
      </c>
      <c r="D16" s="704"/>
      <c r="E16" s="686">
        <f>'5 - Conta AC + SS'!E39</f>
        <v>606.11111961000017</v>
      </c>
      <c r="F16" s="686">
        <f>'5 - Conta AC + SS'!F39</f>
        <v>716.74588382000024</v>
      </c>
      <c r="G16" s="686"/>
      <c r="H16" s="686">
        <v>101.93582626</v>
      </c>
      <c r="I16" s="686">
        <f t="shared" ref="I16:I19" si="2">F16-E16</f>
        <v>110.63476421000007</v>
      </c>
      <c r="J16" s="686">
        <v>19.921559590790249</v>
      </c>
      <c r="K16" s="687">
        <f t="shared" si="0"/>
        <v>18.253214737454005</v>
      </c>
      <c r="L16" s="687">
        <f t="shared" si="1"/>
        <v>0.32023972499794806</v>
      </c>
      <c r="N16" s="189"/>
      <c r="O16" s="189"/>
      <c r="P16" s="199"/>
      <c r="Q16" s="189"/>
      <c r="R16" s="195"/>
    </row>
    <row r="17" spans="2:18" s="190" customFormat="1" ht="15" customHeight="1">
      <c r="B17" s="191"/>
      <c r="C17" s="709" t="s">
        <v>46</v>
      </c>
      <c r="D17" s="704"/>
      <c r="E17" s="686">
        <f>'5 - Conta AC + SS'!E43</f>
        <v>1162.61566722</v>
      </c>
      <c r="F17" s="686">
        <f>'5 - Conta AC + SS'!F43</f>
        <v>1277.2463713899997</v>
      </c>
      <c r="G17" s="707"/>
      <c r="H17" s="707">
        <v>-80.255179160000466</v>
      </c>
      <c r="I17" s="686">
        <f t="shared" si="2"/>
        <v>114.63070416999972</v>
      </c>
      <c r="J17" s="686">
        <v>-7.7430431897494989</v>
      </c>
      <c r="K17" s="687">
        <f t="shared" si="0"/>
        <v>9.8597247054222237</v>
      </c>
      <c r="L17" s="687">
        <f t="shared" si="1"/>
        <v>0.3318062404873256</v>
      </c>
      <c r="N17" s="189"/>
      <c r="O17" s="189"/>
      <c r="P17" s="199"/>
      <c r="Q17" s="189"/>
      <c r="R17" s="195"/>
    </row>
    <row r="18" spans="2:18" s="190" customFormat="1" ht="15" customHeight="1">
      <c r="B18" s="191"/>
      <c r="C18" s="709" t="s">
        <v>45</v>
      </c>
      <c r="D18" s="704"/>
      <c r="E18" s="686">
        <f>'5 - Conta AC + SS'!E40+'5 - Conta AC + SS'!E47</f>
        <v>213.76395335000004</v>
      </c>
      <c r="F18" s="686">
        <f>'5 - Conta AC + SS'!F40+'5 - Conta AC + SS'!F47</f>
        <v>242.51396832000006</v>
      </c>
      <c r="G18" s="686"/>
      <c r="H18" s="686">
        <v>43.509505679999904</v>
      </c>
      <c r="I18" s="686">
        <f t="shared" si="2"/>
        <v>28.750014970000024</v>
      </c>
      <c r="J18" s="686">
        <v>31.653200272288085</v>
      </c>
      <c r="K18" s="687">
        <f t="shared" si="0"/>
        <v>13.449421438668407</v>
      </c>
      <c r="L18" s="687">
        <f t="shared" si="1"/>
        <v>8.3218841323724743E-2</v>
      </c>
      <c r="N18" s="189"/>
      <c r="O18" s="189"/>
      <c r="P18" s="199"/>
      <c r="Q18" s="189"/>
      <c r="R18" s="195"/>
    </row>
    <row r="19" spans="2:18" s="190" customFormat="1" ht="15" customHeight="1">
      <c r="B19" s="191"/>
      <c r="C19" s="709" t="s">
        <v>44</v>
      </c>
      <c r="D19" s="704"/>
      <c r="E19" s="686">
        <f>'5 - Conta AC + SS'!E41+'5 - Conta AC + SS'!E48</f>
        <v>73.484894010000346</v>
      </c>
      <c r="F19" s="686">
        <f>'5 - Conta AC + SS'!F41+'5 - Conta AC + SS'!F48</f>
        <v>25.290027119999191</v>
      </c>
      <c r="G19" s="686"/>
      <c r="H19" s="686">
        <v>-25.235125929999928</v>
      </c>
      <c r="I19" s="686">
        <f t="shared" si="2"/>
        <v>-48.194866890001151</v>
      </c>
      <c r="J19" s="686"/>
      <c r="K19" s="687"/>
      <c r="L19" s="686"/>
      <c r="N19" s="189"/>
      <c r="O19" s="189"/>
      <c r="P19" s="199"/>
      <c r="Q19" s="198"/>
      <c r="R19" s="195"/>
    </row>
    <row r="20" spans="2:18" s="190" customFormat="1" ht="4.5" customHeight="1">
      <c r="B20" s="191"/>
      <c r="C20" s="707"/>
      <c r="D20" s="704"/>
      <c r="E20" s="686"/>
      <c r="F20" s="686"/>
      <c r="G20" s="707"/>
      <c r="H20" s="707"/>
      <c r="I20" s="686"/>
      <c r="J20" s="686"/>
      <c r="K20" s="687"/>
      <c r="L20" s="686"/>
      <c r="N20" s="189"/>
      <c r="O20" s="189"/>
      <c r="P20" s="199"/>
      <c r="Q20" s="198"/>
      <c r="R20" s="195"/>
    </row>
    <row r="21" spans="2:18" s="255" customFormat="1" ht="15" customHeight="1">
      <c r="B21" s="253"/>
      <c r="C21" s="710" t="s">
        <v>43</v>
      </c>
      <c r="D21" s="711"/>
      <c r="E21" s="712">
        <f>+E22-E14</f>
        <v>31235.853619609974</v>
      </c>
      <c r="F21" s="712">
        <f>+F22-F14</f>
        <v>31273.89425169001</v>
      </c>
      <c r="G21" s="712"/>
      <c r="H21" s="712">
        <v>-362.72804712998914</v>
      </c>
      <c r="I21" s="712">
        <f>+F21-E21</f>
        <v>38.040632080035721</v>
      </c>
      <c r="J21" s="712">
        <v>-1.4432615884933164</v>
      </c>
      <c r="K21" s="713">
        <f>+IFERROR(((F21/E21-1)*100),"-")</f>
        <v>0.12178515286727087</v>
      </c>
      <c r="L21" s="713">
        <f>IFERROR((F21-E21)/$E$22*100,"-")</f>
        <v>0.11011115396725943</v>
      </c>
      <c r="N21" s="254"/>
      <c r="O21" s="254"/>
      <c r="P21" s="256"/>
      <c r="Q21" s="257"/>
      <c r="R21" s="258"/>
    </row>
    <row r="22" spans="2:18" s="255" customFormat="1" ht="15" customHeight="1">
      <c r="B22" s="253"/>
      <c r="C22" s="714" t="s">
        <v>42</v>
      </c>
      <c r="D22" s="715"/>
      <c r="E22" s="716">
        <f>SUM(E12:E19)</f>
        <v>34547.482892919972</v>
      </c>
      <c r="F22" s="716">
        <f>SUM(F12:F19)</f>
        <v>34134.592668780009</v>
      </c>
      <c r="G22" s="716"/>
      <c r="H22" s="716">
        <v>-732.69947478999165</v>
      </c>
      <c r="I22" s="716">
        <f>+F22-E22</f>
        <v>-412.89022413996281</v>
      </c>
      <c r="J22" s="716">
        <v>-2.5889931057944349</v>
      </c>
      <c r="K22" s="717">
        <f>+IFERROR(((F22/E22-1)*100),"-")</f>
        <v>-1.1951383706295449</v>
      </c>
      <c r="L22" s="716"/>
      <c r="N22" s="254"/>
      <c r="O22" s="254"/>
      <c r="P22" s="254"/>
      <c r="Q22" s="259"/>
      <c r="R22" s="258"/>
    </row>
    <row r="23" spans="2:18" s="190" customFormat="1" ht="15" customHeight="1">
      <c r="B23" s="191"/>
      <c r="C23" s="709" t="s">
        <v>41</v>
      </c>
      <c r="D23" s="718"/>
      <c r="E23" s="193"/>
      <c r="F23" s="193"/>
      <c r="G23" s="193"/>
      <c r="H23" s="193"/>
      <c r="I23" s="193"/>
      <c r="J23" s="193"/>
      <c r="K23" s="193"/>
      <c r="L23" s="687"/>
      <c r="M23" s="333"/>
      <c r="N23" s="191"/>
      <c r="O23" s="189"/>
      <c r="P23" s="189"/>
      <c r="Q23" s="191"/>
      <c r="R23" s="191"/>
    </row>
    <row r="24" spans="2:18" s="190" customFormat="1">
      <c r="B24" s="191"/>
      <c r="C24" s="333"/>
      <c r="D24" s="333"/>
      <c r="E24" s="334"/>
      <c r="F24" s="334"/>
      <c r="G24" s="334"/>
      <c r="H24" s="334"/>
      <c r="I24" s="193"/>
      <c r="J24" s="193"/>
      <c r="K24" s="333"/>
      <c r="L24" s="333"/>
      <c r="M24" s="333"/>
      <c r="N24" s="191"/>
      <c r="O24" s="189"/>
      <c r="P24" s="189"/>
      <c r="Q24" s="191"/>
      <c r="R24" s="191"/>
    </row>
    <row r="25" spans="2:18" s="190" customFormat="1">
      <c r="B25" s="191"/>
      <c r="C25" s="333"/>
      <c r="D25" s="333"/>
      <c r="E25" s="334"/>
      <c r="F25" s="334"/>
      <c r="G25" s="334"/>
      <c r="H25" s="334"/>
      <c r="I25" s="193"/>
      <c r="J25" s="193"/>
      <c r="K25" s="333"/>
      <c r="L25" s="333"/>
      <c r="M25" s="191"/>
      <c r="N25" s="191"/>
      <c r="O25" s="189"/>
      <c r="P25" s="189"/>
      <c r="Q25" s="189"/>
    </row>
    <row r="26" spans="2:18" s="190" customFormat="1">
      <c r="B26" s="191"/>
      <c r="C26" s="191"/>
      <c r="D26" s="191"/>
      <c r="E26" s="197"/>
      <c r="F26" s="196"/>
      <c r="G26" s="191"/>
      <c r="H26" s="333"/>
      <c r="I26" s="193"/>
      <c r="J26" s="193"/>
      <c r="K26" s="191"/>
      <c r="L26" s="195"/>
      <c r="M26" s="191"/>
      <c r="N26" s="191"/>
      <c r="O26" s="189"/>
      <c r="P26" s="189"/>
      <c r="Q26" s="189"/>
    </row>
    <row r="27" spans="2:18" s="190" customFormat="1">
      <c r="B27" s="189"/>
      <c r="C27" s="189"/>
      <c r="D27" s="189"/>
      <c r="E27" s="189"/>
      <c r="F27" s="194"/>
      <c r="G27" s="189"/>
      <c r="I27" s="193"/>
      <c r="J27" s="193"/>
      <c r="K27" s="192"/>
      <c r="L27" s="189"/>
      <c r="M27" s="191"/>
      <c r="N27" s="191"/>
      <c r="O27" s="189"/>
      <c r="P27" s="189"/>
      <c r="Q27" s="189"/>
    </row>
    <row r="28" spans="2:18" s="190" customFormat="1">
      <c r="B28" s="189"/>
      <c r="C28" s="189"/>
      <c r="D28" s="189"/>
      <c r="E28" s="189"/>
      <c r="F28" s="189"/>
      <c r="G28" s="189"/>
      <c r="I28" s="193"/>
      <c r="J28" s="193"/>
      <c r="K28" s="192"/>
      <c r="L28" s="189"/>
      <c r="M28" s="191"/>
      <c r="N28" s="191"/>
      <c r="O28" s="189"/>
      <c r="P28" s="189"/>
      <c r="Q28" s="189"/>
    </row>
    <row r="29" spans="2:18" s="190" customFormat="1">
      <c r="B29" s="189"/>
      <c r="C29" s="189"/>
      <c r="D29" s="189"/>
      <c r="E29" s="189"/>
      <c r="F29" s="189"/>
      <c r="G29" s="189"/>
      <c r="I29" s="193"/>
      <c r="J29" s="193"/>
      <c r="K29" s="192"/>
      <c r="L29" s="189"/>
      <c r="M29" s="191"/>
      <c r="N29" s="191"/>
      <c r="O29" s="189"/>
      <c r="P29" s="189"/>
      <c r="Q29" s="189"/>
    </row>
    <row r="30" spans="2:18" s="190" customFormat="1">
      <c r="B30" s="189"/>
      <c r="C30" s="189"/>
      <c r="D30" s="189"/>
      <c r="E30" s="189"/>
      <c r="F30" s="189"/>
      <c r="G30" s="189"/>
      <c r="I30" s="193"/>
      <c r="J30" s="193"/>
      <c r="K30" s="192"/>
      <c r="L30" s="189"/>
      <c r="M30" s="191"/>
      <c r="N30" s="191"/>
      <c r="O30" s="189"/>
      <c r="P30" s="189"/>
      <c r="Q30" s="189"/>
    </row>
    <row r="31" spans="2:18" s="190" customFormat="1">
      <c r="B31" s="189"/>
      <c r="C31" s="191"/>
      <c r="D31" s="191"/>
      <c r="E31" s="191"/>
      <c r="F31" s="191"/>
      <c r="G31" s="191"/>
      <c r="H31" s="333"/>
      <c r="I31" s="191"/>
      <c r="J31" s="333"/>
      <c r="K31" s="191"/>
      <c r="L31" s="191"/>
      <c r="M31" s="191"/>
      <c r="N31" s="191"/>
      <c r="O31" s="189"/>
      <c r="P31" s="189"/>
      <c r="Q31" s="189"/>
    </row>
    <row r="32" spans="2:18" s="190" customFormat="1">
      <c r="B32" s="189"/>
      <c r="C32" s="191"/>
      <c r="D32" s="191"/>
      <c r="E32" s="191"/>
      <c r="F32" s="191"/>
      <c r="G32" s="191"/>
      <c r="H32" s="333"/>
      <c r="I32" s="191"/>
      <c r="J32" s="333"/>
      <c r="K32" s="191"/>
      <c r="L32" s="191"/>
      <c r="M32" s="191"/>
      <c r="N32" s="191"/>
      <c r="O32" s="189"/>
      <c r="P32" s="189"/>
      <c r="Q32" s="189"/>
    </row>
    <row r="33" spans="8:21" s="191" customFormat="1">
      <c r="H33" s="333"/>
      <c r="J33" s="333"/>
      <c r="O33" s="189"/>
      <c r="P33" s="189"/>
      <c r="Q33" s="189"/>
      <c r="R33" s="190"/>
      <c r="S33" s="190"/>
      <c r="T33" s="190"/>
      <c r="U33" s="190"/>
    </row>
    <row r="34" spans="8:21" s="191" customFormat="1">
      <c r="H34" s="333"/>
      <c r="J34" s="333"/>
      <c r="O34" s="189"/>
      <c r="P34" s="189"/>
      <c r="Q34" s="189"/>
      <c r="R34" s="190"/>
      <c r="S34" s="190"/>
      <c r="T34" s="190"/>
      <c r="U34" s="190"/>
    </row>
    <row r="35" spans="8:21" s="191" customFormat="1">
      <c r="H35" s="333"/>
      <c r="J35" s="333"/>
      <c r="O35" s="189"/>
      <c r="P35" s="189"/>
      <c r="Q35" s="189"/>
      <c r="R35" s="190"/>
      <c r="S35" s="190"/>
      <c r="T35" s="190"/>
      <c r="U35" s="190"/>
    </row>
    <row r="36" spans="8:21" s="191" customFormat="1">
      <c r="H36" s="333"/>
      <c r="J36" s="333"/>
      <c r="O36" s="189"/>
      <c r="P36" s="189"/>
      <c r="Q36" s="189"/>
      <c r="R36" s="190"/>
      <c r="S36" s="190"/>
      <c r="T36" s="190"/>
      <c r="U36" s="190"/>
    </row>
    <row r="37" spans="8:21" s="191" customFormat="1">
      <c r="H37" s="333"/>
      <c r="J37" s="333"/>
      <c r="O37" s="189"/>
      <c r="P37" s="189"/>
      <c r="Q37" s="189"/>
      <c r="R37" s="190"/>
      <c r="S37" s="190"/>
      <c r="T37" s="190"/>
      <c r="U37" s="190"/>
    </row>
    <row r="38" spans="8:21" s="191" customFormat="1">
      <c r="H38" s="333"/>
      <c r="J38" s="333"/>
      <c r="O38" s="189"/>
      <c r="P38" s="189"/>
      <c r="Q38" s="189"/>
      <c r="R38" s="190"/>
      <c r="S38" s="190"/>
      <c r="T38" s="190"/>
      <c r="U38" s="190"/>
    </row>
    <row r="39" spans="8:21" s="191" customFormat="1">
      <c r="H39" s="333"/>
      <c r="J39" s="333"/>
      <c r="O39" s="189"/>
      <c r="P39" s="189"/>
      <c r="Q39" s="189"/>
      <c r="R39" s="190"/>
      <c r="S39" s="190"/>
      <c r="T39" s="190"/>
      <c r="U39" s="190"/>
    </row>
    <row r="40" spans="8:21" s="191" customFormat="1">
      <c r="H40" s="333"/>
      <c r="J40" s="333"/>
      <c r="O40" s="189"/>
      <c r="P40" s="189"/>
      <c r="Q40" s="189"/>
      <c r="R40" s="190"/>
      <c r="S40" s="190"/>
      <c r="T40" s="190"/>
      <c r="U40" s="190"/>
    </row>
    <row r="41" spans="8:21" s="191" customFormat="1">
      <c r="H41" s="333"/>
      <c r="J41" s="333"/>
      <c r="O41" s="189"/>
      <c r="P41" s="189"/>
      <c r="Q41" s="189"/>
      <c r="R41" s="190"/>
      <c r="S41" s="190"/>
      <c r="T41" s="190"/>
      <c r="U41" s="190"/>
    </row>
    <row r="42" spans="8:21" s="191" customFormat="1">
      <c r="H42" s="333"/>
      <c r="J42" s="333"/>
      <c r="O42" s="189"/>
      <c r="P42" s="189"/>
      <c r="Q42" s="189"/>
      <c r="R42" s="190"/>
      <c r="S42" s="190"/>
      <c r="T42" s="190"/>
      <c r="U42" s="190"/>
    </row>
    <row r="43" spans="8:21" s="191" customFormat="1">
      <c r="H43" s="333"/>
      <c r="J43" s="333"/>
      <c r="O43" s="189"/>
      <c r="P43" s="189"/>
      <c r="Q43" s="189"/>
      <c r="R43" s="190"/>
      <c r="S43" s="190"/>
      <c r="T43" s="190"/>
      <c r="U43" s="190"/>
    </row>
    <row r="44" spans="8:21" s="191" customFormat="1">
      <c r="H44" s="333"/>
      <c r="J44" s="333"/>
      <c r="O44" s="189"/>
      <c r="P44" s="189"/>
      <c r="Q44" s="189"/>
      <c r="R44" s="190"/>
      <c r="S44" s="190"/>
      <c r="T44" s="190"/>
      <c r="U44" s="190"/>
    </row>
    <row r="45" spans="8:21" s="191" customFormat="1">
      <c r="H45" s="333"/>
      <c r="J45" s="333"/>
      <c r="O45" s="189"/>
      <c r="P45" s="189"/>
      <c r="Q45" s="189"/>
      <c r="R45" s="190"/>
      <c r="S45" s="190"/>
      <c r="T45" s="190"/>
      <c r="U45" s="190"/>
    </row>
    <row r="46" spans="8:21" s="191" customFormat="1">
      <c r="H46" s="333"/>
      <c r="J46" s="333"/>
      <c r="O46" s="189"/>
      <c r="P46" s="189"/>
      <c r="Q46" s="189"/>
      <c r="R46" s="190"/>
      <c r="S46" s="190"/>
      <c r="T46" s="190"/>
      <c r="U46" s="190"/>
    </row>
    <row r="47" spans="8:21" s="191" customFormat="1">
      <c r="H47" s="333"/>
      <c r="J47" s="333"/>
      <c r="O47" s="189"/>
      <c r="P47" s="189"/>
      <c r="Q47" s="189"/>
      <c r="R47" s="190"/>
      <c r="S47" s="190"/>
      <c r="T47" s="190"/>
      <c r="U47" s="190"/>
    </row>
    <row r="48" spans="8:21" s="191" customFormat="1">
      <c r="H48" s="333"/>
      <c r="J48" s="333"/>
      <c r="O48" s="189"/>
      <c r="P48" s="189"/>
      <c r="Q48" s="189"/>
      <c r="R48" s="190"/>
      <c r="S48" s="190"/>
      <c r="T48" s="190"/>
      <c r="U48" s="190"/>
    </row>
    <row r="49" spans="8:21" s="191" customFormat="1">
      <c r="H49" s="333"/>
      <c r="J49" s="333"/>
      <c r="O49" s="189"/>
      <c r="P49" s="189"/>
      <c r="Q49" s="189"/>
      <c r="R49" s="190"/>
      <c r="S49" s="190"/>
      <c r="T49" s="190"/>
      <c r="U49" s="190"/>
    </row>
    <row r="50" spans="8:21" s="191" customFormat="1">
      <c r="H50" s="333"/>
      <c r="J50" s="333"/>
      <c r="O50" s="189"/>
      <c r="P50" s="189"/>
      <c r="Q50" s="189"/>
      <c r="R50" s="190"/>
      <c r="S50" s="190"/>
      <c r="T50" s="190"/>
      <c r="U50" s="190"/>
    </row>
    <row r="51" spans="8:21" s="191" customFormat="1">
      <c r="H51" s="333"/>
      <c r="J51" s="333"/>
      <c r="O51" s="189"/>
      <c r="P51" s="189"/>
      <c r="Q51" s="189"/>
      <c r="R51" s="190"/>
      <c r="S51" s="190"/>
      <c r="T51" s="190"/>
      <c r="U51" s="190"/>
    </row>
    <row r="52" spans="8:21" s="191" customFormat="1">
      <c r="H52" s="333"/>
      <c r="J52" s="333"/>
      <c r="O52" s="189"/>
      <c r="P52" s="189"/>
      <c r="Q52" s="189"/>
      <c r="R52" s="190"/>
      <c r="S52" s="190"/>
      <c r="T52" s="190"/>
      <c r="U52" s="190"/>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R157"/>
  <sheetViews>
    <sheetView showGridLines="0" zoomScaleNormal="100" workbookViewId="0">
      <selection activeCell="B2" sqref="B2"/>
    </sheetView>
  </sheetViews>
  <sheetFormatPr defaultColWidth="9.42578125" defaultRowHeight="15"/>
  <cols>
    <col min="1" max="1" width="2.5703125" style="628" customWidth="1"/>
    <col min="2" max="2" width="4.42578125" style="429" customWidth="1"/>
    <col min="3" max="3" width="62.140625" style="429" customWidth="1"/>
    <col min="4" max="4" width="10.7109375" style="429" customWidth="1"/>
    <col min="5" max="5" width="12.5703125" style="430" customWidth="1"/>
    <col min="6" max="6" width="17.42578125" customWidth="1"/>
    <col min="11" max="11" width="10.5703125" bestFit="1" customWidth="1"/>
    <col min="12" max="12" width="15.42578125" bestFit="1" customWidth="1"/>
    <col min="13" max="13" width="19.42578125" style="429" bestFit="1" customWidth="1"/>
    <col min="14" max="14" width="9.5703125" style="429" bestFit="1" customWidth="1"/>
    <col min="15" max="15" width="9.42578125" style="429"/>
    <col min="16" max="16" width="10.5703125" style="429" bestFit="1" customWidth="1"/>
    <col min="17" max="16384" width="9.42578125" style="429"/>
  </cols>
  <sheetData>
    <row r="2" spans="1:18" s="627" customFormat="1" ht="37.5" customHeight="1">
      <c r="A2" s="626"/>
      <c r="B2" s="8"/>
      <c r="C2" s="1665" t="str">
        <f>IF(Indice_index!$Z$1=1,"3 - Impacto orçamental das medidas adotadas no âmbito da COVID-19 pelas Administrações Públicas","3 - Budgetary impact of COVID-19 policy measures by the General Government")</f>
        <v>3 - Budgetary impact of COVID-19 policy measures by the General Government</v>
      </c>
      <c r="D2" s="1665"/>
      <c r="E2" s="361"/>
      <c r="F2"/>
      <c r="G2"/>
      <c r="H2"/>
      <c r="I2"/>
      <c r="J2"/>
      <c r="K2"/>
      <c r="L2"/>
      <c r="M2" s="189"/>
    </row>
    <row r="3" spans="1:18" s="190" customFormat="1" ht="15" customHeight="1">
      <c r="D3" s="534"/>
      <c r="E3" s="361"/>
      <c r="F3" s="361"/>
      <c r="G3" s="361"/>
      <c r="H3" s="361"/>
      <c r="I3" s="361"/>
      <c r="J3" s="361"/>
      <c r="K3" s="361"/>
      <c r="L3" s="189"/>
      <c r="M3" s="460"/>
      <c r="N3" s="461"/>
      <c r="O3" s="191"/>
      <c r="P3" s="189"/>
      <c r="Q3" s="189"/>
      <c r="R3" s="189"/>
    </row>
    <row r="4" spans="1:18" s="190" customFormat="1" ht="15" customHeight="1">
      <c r="C4" s="1663" t="str">
        <f>IF(Indice_index!$Z$1=1,"Execução das medidas adotadas no âmbito da COVID-19 pelas Administrações Públicas","Budgetary implementation of COVID-19 policy measures by the General Government")</f>
        <v>Budgetary implementation of COVID-19 policy measures by the General Government</v>
      </c>
      <c r="D4" s="1663"/>
      <c r="E4" s="1663"/>
      <c r="F4" s="1663"/>
      <c r="G4" s="1663"/>
      <c r="H4" s="1663"/>
      <c r="I4" s="1663"/>
      <c r="J4" s="361"/>
      <c r="K4" s="361"/>
      <c r="L4" s="189"/>
      <c r="M4" s="460"/>
      <c r="N4" s="461"/>
      <c r="O4" s="191"/>
      <c r="P4" s="189"/>
      <c r="Q4" s="189"/>
      <c r="R4" s="189"/>
    </row>
    <row r="5" spans="1:18" ht="15" customHeight="1">
      <c r="A5" s="430"/>
      <c r="B5" s="430"/>
      <c r="C5" s="430"/>
      <c r="D5" s="430"/>
      <c r="E5" s="448"/>
      <c r="F5" s="448"/>
      <c r="G5" s="448"/>
      <c r="H5" s="448"/>
      <c r="I5" s="448"/>
      <c r="J5" s="430"/>
      <c r="K5" s="429"/>
      <c r="L5" s="429"/>
      <c r="M5" s="462"/>
      <c r="N5" s="462"/>
    </row>
    <row r="6" spans="1:18">
      <c r="C6" s="1464" t="str">
        <f>+'5 - Conta AC + SS'!C5</f>
        <v>Period: January to May</v>
      </c>
      <c r="D6" s="952" t="str">
        <f>IF(Indice_index!$Z$1=1,"€ Milhões","€ Millions")</f>
        <v>€ Millions</v>
      </c>
      <c r="E6" s="657"/>
    </row>
    <row r="7" spans="1:18" ht="21" customHeight="1">
      <c r="A7" s="1662"/>
      <c r="C7" s="1465" t="str">
        <f>IF(Indice_index!$Z$1=1,"Medida Covid-19","COVID-19 Policy Measure")</f>
        <v>COVID-19 Policy Measure</v>
      </c>
      <c r="D7" s="1466" t="s">
        <v>67</v>
      </c>
      <c r="E7" s="657"/>
      <c r="F7" s="1663"/>
      <c r="G7" s="1663"/>
      <c r="H7" s="1663"/>
      <c r="I7" s="1663"/>
      <c r="J7" s="1663"/>
      <c r="K7" s="1663"/>
      <c r="L7" s="1663"/>
    </row>
    <row r="8" spans="1:18" ht="2.25" customHeight="1">
      <c r="A8" s="1662"/>
      <c r="C8" s="1467"/>
      <c r="D8" s="1468"/>
      <c r="E8" s="657"/>
    </row>
    <row r="9" spans="1:18" ht="12" customHeight="1">
      <c r="A9" s="643"/>
      <c r="C9" s="1045" t="str">
        <f>IF(Indice_index!$Z$1=1,"Prorrogação do pagamento do IVA","Extension of VAT payment")</f>
        <v>Extension of VAT payment</v>
      </c>
      <c r="D9" s="1035">
        <v>364.52847700000001</v>
      </c>
      <c r="E9" s="657"/>
    </row>
    <row r="10" spans="1:18" ht="12" customHeight="1">
      <c r="A10" s="629"/>
      <c r="C10" s="1045" t="str">
        <f>IF(Indice_index!$Z$1=1,"Limitação extraordinária de pagamentos por conta em sede de IRS ou IRC","Extraordinary limitation of prepayments related with IRS or IRC")</f>
        <v>Extraordinary limitation of prepayments related with IRS or IRC</v>
      </c>
      <c r="D10" s="1035">
        <v>28.436111</v>
      </c>
      <c r="E10" s="657"/>
    </row>
    <row r="11" spans="1:18" ht="12" customHeight="1">
      <c r="A11" s="630"/>
      <c r="C11" s="1045" t="str">
        <f>IF(Indice_index!$Z$1=1,"Isenção de pagamento da Taxa Social Única (estimativa)","Exemption from payment of the social security contributions (estimate)")</f>
        <v>Exemption from payment of the social security contributions (estimate)</v>
      </c>
      <c r="D11" s="1035">
        <v>5.6952533883549998</v>
      </c>
      <c r="E11" s="657"/>
    </row>
    <row r="12" spans="1:18" ht="12" hidden="1" customHeight="1">
      <c r="A12" s="630"/>
      <c r="C12" s="1045" t="str">
        <f>IF(Indice_index!$Z$1=1,"Adiamento, redução ou isenção de rendas de imóveis","Postponement, reduction or exemption of property rents payment")</f>
        <v>Postponement, reduction or exemption of property rents payment</v>
      </c>
      <c r="D12" s="1035">
        <v>1.0398639999999999E-2</v>
      </c>
      <c r="E12" s="657"/>
    </row>
    <row r="13" spans="1:18" ht="12" customHeight="1">
      <c r="A13" s="630"/>
      <c r="C13" s="1045" t="str">
        <f>IF(Indice_index!$Z$1=1,"Revenda de vacinas contra a COVID-19 a países terceiros","Resale of vaccines against COVID-19 to third countries")</f>
        <v>Resale of vaccines against COVID-19 to third countries</v>
      </c>
      <c r="D13" s="1034">
        <v>-31.921356960000001</v>
      </c>
      <c r="E13" s="657"/>
    </row>
    <row r="14" spans="1:18" ht="2.25" customHeight="1">
      <c r="C14" s="1469"/>
      <c r="D14" s="1470"/>
      <c r="E14" s="657"/>
    </row>
    <row r="15" spans="1:18" ht="12" customHeight="1">
      <c r="C15" s="1038" t="str">
        <f>IF(Indice_index!$Z$1=1,"Receita","Revenue")</f>
        <v>Revenue</v>
      </c>
      <c r="D15" s="1037">
        <f>SUM(D9:D14)</f>
        <v>366.74888306835498</v>
      </c>
      <c r="E15" s="723"/>
      <c r="F15" s="663"/>
    </row>
    <row r="16" spans="1:18" ht="5.0999999999999996" customHeight="1">
      <c r="C16" s="1471"/>
      <c r="D16" s="660"/>
      <c r="E16" s="657"/>
    </row>
    <row r="17" spans="1:5" ht="12" customHeight="1">
      <c r="C17" s="1472" t="str">
        <f>IF(Indice_index!$Z$1=1,"Apoio às empresas","Enterpises support")</f>
        <v>Enterpises support</v>
      </c>
      <c r="D17" s="1473">
        <f>D18+D25+D22+D24</f>
        <v>414.39469378999996</v>
      </c>
      <c r="E17" s="722"/>
    </row>
    <row r="18" spans="1:5" ht="12" customHeight="1">
      <c r="C18" s="1474" t="str">
        <f>IF(Indice_index!$Z$1=1,"Apoios aos custos com trabalhadores","Support for workers' costs")</f>
        <v>Support for workers' costs</v>
      </c>
      <c r="D18" s="1473">
        <f>D19+D21+D20</f>
        <v>139.85497038</v>
      </c>
      <c r="E18" s="722"/>
    </row>
    <row r="19" spans="1:5" ht="12" customHeight="1">
      <c r="A19" s="631"/>
      <c r="C19" s="1045" t="str">
        <f>IF(Indice_index!$Z$1=1,"Incentivo à normalização","Incentive to normalization")</f>
        <v>Incentive to normalization</v>
      </c>
      <c r="D19" s="1034">
        <v>100.62737112000001</v>
      </c>
      <c r="E19" s="722"/>
    </row>
    <row r="20" spans="1:5" ht="12" customHeight="1">
      <c r="A20" s="631"/>
      <c r="C20" s="1045" t="str">
        <f>IF(Indice_index!$Z$1=1,"Apoio extraordinário à retoma progressiva de atividade","Extraordinary support for the progressive resumption of activity")</f>
        <v>Extraordinary support for the progressive resumption of activity</v>
      </c>
      <c r="D20" s="1034">
        <v>29.291757749999995</v>
      </c>
      <c r="E20" s="722"/>
    </row>
    <row r="21" spans="1:5" ht="12" customHeight="1">
      <c r="A21" s="631"/>
      <c r="C21" s="1045" t="str">
        <f>IF(Indice_index!$Z$1=1,"Layoff Simplificado","Simplified layoff")</f>
        <v>Simplified layoff</v>
      </c>
      <c r="D21" s="1034">
        <v>9.9358415099999977</v>
      </c>
      <c r="E21" s="722"/>
    </row>
    <row r="22" spans="1:5" ht="12" customHeight="1">
      <c r="A22" s="631"/>
      <c r="C22" s="1474" t="str">
        <f>IF(Indice_index!$Z$1=1,"Apoios a outros custos fixos das empresas","Support for other fixed costs of companies")</f>
        <v>Support for other fixed costs of companies</v>
      </c>
      <c r="D22" s="1473">
        <f>D23</f>
        <v>27.116583409999997</v>
      </c>
      <c r="E22" s="722"/>
    </row>
    <row r="23" spans="1:5" ht="12" customHeight="1">
      <c r="A23" s="631"/>
      <c r="C23" s="1045" t="str">
        <f>IF(Indice_index!$Z$1=1,"Programa Apoiar (APOIAR.PT, APOIAR Rendas e APOIAR + Simples)","Apoiar Program (APOIAR.PT, APOIAR rentals and APOIAR simple plus)")</f>
        <v>Apoiar Program (APOIAR.PT, APOIAR rentals and APOIAR simple plus)</v>
      </c>
      <c r="D23" s="1034">
        <v>27.116583409999997</v>
      </c>
      <c r="E23" s="722"/>
    </row>
    <row r="24" spans="1:5" ht="12" customHeight="1">
      <c r="A24" s="631"/>
      <c r="C24" s="1475" t="str">
        <f>IF(Indice_index!$Z$1=1,"Apoios ao setor dos transportes","Transport Subsidies")</f>
        <v>Transport Subsidies</v>
      </c>
      <c r="D24" s="1476">
        <v>0.98677000000000004</v>
      </c>
      <c r="E24" s="722"/>
    </row>
    <row r="25" spans="1:5" ht="12" customHeight="1">
      <c r="A25" s="631"/>
      <c r="C25" s="1474" t="str">
        <f>IF(Indice_index!$Z$1=1,"Outros","Other benefits")</f>
        <v>Other benefits</v>
      </c>
      <c r="D25" s="1476">
        <f>SUM(D26:D31)</f>
        <v>246.43637000000001</v>
      </c>
      <c r="E25" s="722"/>
    </row>
    <row r="26" spans="1:5" ht="12" customHeight="1">
      <c r="A26" s="631"/>
      <c r="C26" s="1045" t="str">
        <f>IF(Indice_index!$Z$1=1,"Programa Ativar (inclui bolsas de formação)","ATIVAR.PT Program (includes training grants)")</f>
        <v>ATIVAR.PT Program (includes training grants)</v>
      </c>
      <c r="D26" s="1034">
        <v>149.24562565000002</v>
      </c>
      <c r="E26" s="722"/>
    </row>
    <row r="27" spans="1:5" ht="12" customHeight="1">
      <c r="A27" s="631"/>
      <c r="C27" s="1045" t="str">
        <f>IF(Indice_index!$Z$1=1,"Compensação ao aumento do valor da retribuição mínima mensal garantida","Compensation for the increase in the guaranteed minimum monthly salary")</f>
        <v>Compensation for the increase in the guaranteed minimum monthly salary</v>
      </c>
      <c r="D27" s="1034">
        <v>71.734712000000002</v>
      </c>
      <c r="E27" s="722"/>
    </row>
    <row r="28" spans="1:5" ht="12" customHeight="1">
      <c r="A28" s="631"/>
      <c r="C28" s="1045" t="str">
        <f>IF(Indice_index!$Z$1=1,"Programa Garantir Cultura","Guarantee Culture Program")</f>
        <v>Guarantee Culture Program</v>
      </c>
      <c r="D28" s="1034">
        <v>7.1076440299999994</v>
      </c>
      <c r="E28" s="722"/>
    </row>
    <row r="29" spans="1:5" ht="12" customHeight="1">
      <c r="A29" s="631"/>
      <c r="C29" s="1045" t="str">
        <f>IF(Indice_index!$Z$1=1,"Incentivos à inovação e à Investigação e Desenvolvimento","
Incentives for innovation and Research and Development")</f>
        <v xml:space="preserve">
Incentives for innovation and Research and Development</v>
      </c>
      <c r="D29" s="1034">
        <v>6.7264654299999993</v>
      </c>
      <c r="E29" s="722"/>
    </row>
    <row r="30" spans="1:5" ht="12" customHeight="1">
      <c r="A30" s="631"/>
      <c r="C30" s="1045" t="str">
        <f>IF(Indice_index!$Z$1=1,"Programa Adaptar (Adaptar, Adaptar Turismo)","Adaptar Program (Adpatar, Adaptar Tourism")</f>
        <v>Adaptar Program (Adpatar, Adaptar Tourism</v>
      </c>
      <c r="D30" s="1034">
        <v>3.7429537100000001</v>
      </c>
      <c r="E30" s="722"/>
    </row>
    <row r="31" spans="1:5" ht="12" customHeight="1">
      <c r="A31" s="631"/>
      <c r="C31" s="1045" t="str">
        <f>IF(Indice_index!$Z$1=1,"Outros apoios a empresas","Other benefits to companies")</f>
        <v>Other benefits to companies</v>
      </c>
      <c r="D31" s="1034">
        <v>7.8789691800000012</v>
      </c>
      <c r="E31" s="722"/>
    </row>
    <row r="32" spans="1:5" ht="12" customHeight="1">
      <c r="A32" s="631"/>
      <c r="C32" s="1472" t="str">
        <f>IF(Indice_index!$Z$1=1,"Apoio ao rendimento das famílias","Support of families income")</f>
        <v>Support of families income</v>
      </c>
      <c r="D32" s="1473">
        <f>SUM(D33:D40)</f>
        <v>383.33949096999999</v>
      </c>
      <c r="E32" s="722"/>
    </row>
    <row r="33" spans="1:5" ht="12" customHeight="1">
      <c r="A33" s="631"/>
      <c r="C33" s="1477" t="str">
        <f>IF(Indice_index!$Z$1=1,"Isolamento profilático","Prophylactic isolation benefit")</f>
        <v>Prophylactic isolation benefit</v>
      </c>
      <c r="D33" s="1034">
        <v>186.04445568</v>
      </c>
      <c r="E33" s="722"/>
    </row>
    <row r="34" spans="1:5" ht="12" customHeight="1">
      <c r="A34" s="631"/>
      <c r="B34" s="631"/>
      <c r="C34" s="1045" t="str">
        <f>IF(Indice_index!$Z$1=1,"Apoios extraordinários ao rendimento dos trabalhadores","Extraordinary support of workers income")</f>
        <v>Extraordinary support of workers income</v>
      </c>
      <c r="D34" s="1034">
        <v>74.20757922</v>
      </c>
      <c r="E34" s="722"/>
    </row>
    <row r="35" spans="1:5" ht="12" customHeight="1">
      <c r="A35" s="631"/>
      <c r="C35" s="1045" t="str">
        <f>IF(Indice_index!$Z$1=1,"Subsídio de doença","Sick benefit")</f>
        <v>Sick benefit</v>
      </c>
      <c r="D35" s="1034">
        <v>59.909538399999995</v>
      </c>
      <c r="E35" s="722"/>
    </row>
    <row r="36" spans="1:5" ht="12" customHeight="1">
      <c r="A36" s="632"/>
      <c r="B36" s="430"/>
      <c r="C36" s="1045" t="str">
        <f>+IF(Indice_index!$Z$1=1,"Programa AUTOvoucher","AUTOvoucher Program")</f>
        <v>AUTOvoucher Program</v>
      </c>
      <c r="D36" s="1034">
        <v>30</v>
      </c>
      <c r="E36" s="722"/>
    </row>
    <row r="37" spans="1:5" ht="12" customHeight="1">
      <c r="A37" s="631"/>
      <c r="C37" s="1045" t="str">
        <f>IF(Indice_index!$Z$1=1,"Subsídios de assistência a filho e a neto","Allowances for child and grandchild's care")</f>
        <v>Allowances for child and grandchild's care</v>
      </c>
      <c r="D37" s="1034">
        <v>13.64755965</v>
      </c>
      <c r="E37" s="722"/>
    </row>
    <row r="38" spans="1:5" ht="12" customHeight="1">
      <c r="A38" s="631"/>
      <c r="C38" s="1045" t="str">
        <f>IF(Indice_index!$Z$1=1,"Apoios excecional à família","Extraordinary benefits to families")</f>
        <v>Extraordinary benefits to families</v>
      </c>
      <c r="D38" s="1034">
        <v>8.1444139</v>
      </c>
      <c r="E38" s="722"/>
    </row>
    <row r="39" spans="1:5" ht="12" customHeight="1">
      <c r="A39" s="631"/>
      <c r="C39" s="1045" t="str">
        <f>IF(Indice_index!$Z$1=1,"Prestações por doenças profissionais","Benefits for professional illnesses")</f>
        <v>Benefits for professional illnesses</v>
      </c>
      <c r="D39" s="1034">
        <v>0.98632767999999993</v>
      </c>
      <c r="E39" s="722"/>
    </row>
    <row r="40" spans="1:5" ht="12" customHeight="1">
      <c r="A40" s="631"/>
      <c r="C40" s="1045" t="str">
        <f>IF(Indice_index!$Z$1=1,"Outros apoios de proteção social","Other social protection benefits")</f>
        <v>Other social protection benefits</v>
      </c>
      <c r="D40" s="1034">
        <v>10.399616440000003</v>
      </c>
      <c r="E40" s="722"/>
    </row>
    <row r="41" spans="1:5" ht="12" customHeight="1">
      <c r="A41" s="631"/>
      <c r="C41" s="1472" t="str">
        <f>IF(Indice_index!$Z$1=1,"Saúde","Health sector")</f>
        <v>Health sector</v>
      </c>
      <c r="D41" s="1473">
        <f>SUM(D42:D46)</f>
        <v>629.31030132000001</v>
      </c>
      <c r="E41" s="722"/>
    </row>
    <row r="42" spans="1:5" ht="12" customHeight="1">
      <c r="A42" s="631"/>
      <c r="C42" s="1045" t="str">
        <f>IF(Indice_index!$Z$1=1,"Testes COVID-19","COVID-19 tests ")</f>
        <v xml:space="preserve">COVID-19 tests </v>
      </c>
      <c r="D42" s="1034">
        <v>217.39154768</v>
      </c>
      <c r="E42" s="722"/>
    </row>
    <row r="43" spans="1:5" ht="12" customHeight="1">
      <c r="A43" s="631"/>
      <c r="C43" s="1045" t="str">
        <f>IF(Indice_index!$Z$1=1,"Aquisição de vacinas","Purchasing of vaccines")</f>
        <v>Purchasing of vaccines</v>
      </c>
      <c r="D43" s="1034">
        <v>216.15887266000001</v>
      </c>
      <c r="E43" s="722"/>
    </row>
    <row r="44" spans="1:5" ht="12" customHeight="1">
      <c r="A44" s="631"/>
      <c r="C44" s="1045" t="str">
        <f>IF(Indice_index!$Z$1=1,"Recursos humanos (contratações, horas extra e outros abonos)","Human resources (hiring, overtime and other allowances)")</f>
        <v>Human resources (hiring, overtime and other allowances)</v>
      </c>
      <c r="D44" s="1034">
        <v>120.61899578000005</v>
      </c>
      <c r="E44" s="722"/>
    </row>
    <row r="45" spans="1:5" ht="12" customHeight="1">
      <c r="A45" s="631"/>
      <c r="C45" s="1045" t="str">
        <f>IF(Indice_index!$Z$1=1,"EPI, medicamentos e outros","Personal protective equipment, medicines and others")</f>
        <v>Personal protective equipment, medicines and others</v>
      </c>
      <c r="D45" s="1034">
        <v>69.899990959999997</v>
      </c>
      <c r="E45" s="722"/>
    </row>
    <row r="46" spans="1:5" ht="12" customHeight="1">
      <c r="A46" s="631"/>
      <c r="C46" s="1045" t="str">
        <f>IF(Indice_index!$Z$1=1,"Equipamentos e outros","Equipment and others")</f>
        <v>Equipment and others</v>
      </c>
      <c r="D46" s="1035">
        <v>5.2408942399999976</v>
      </c>
      <c r="E46" s="722"/>
    </row>
    <row r="47" spans="1:5" ht="12" customHeight="1">
      <c r="A47" s="631"/>
      <c r="C47" s="1472" t="str">
        <f>IF(Indice_index!$Z$1=1,"Outros","Other benefits")</f>
        <v>Other benefits</v>
      </c>
      <c r="D47" s="1473">
        <f>SUM(D48:D53)</f>
        <v>240.56603957999999</v>
      </c>
      <c r="E47" s="722"/>
    </row>
    <row r="48" spans="1:5" ht="12" customHeight="1">
      <c r="A48" s="631"/>
      <c r="C48" s="1045" t="str">
        <f>IF(Indice_index!$Z$1=1,"Universalização da escola digital","Universalization of the digital school")</f>
        <v>Universalization of the digital school</v>
      </c>
      <c r="D48" s="1034">
        <v>122.37923309</v>
      </c>
      <c r="E48" s="722"/>
    </row>
    <row r="49" spans="1:12" ht="12" customHeight="1">
      <c r="A49" s="631"/>
      <c r="C49" s="1478"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49" s="1034">
        <v>9.9164076300000019</v>
      </c>
      <c r="E49" s="722"/>
    </row>
    <row r="50" spans="1:12" ht="12" customHeight="1">
      <c r="A50" s="631"/>
      <c r="C50" s="1045" t="str">
        <f>IF(Indice_index!$Z$1=1,"Programa de Apoio a Edifícios Mais Sustentáveis","More Sustainable Building Support Program")</f>
        <v>More Sustainable Building Support Program</v>
      </c>
      <c r="D50" s="1035">
        <v>28.854445479999999</v>
      </c>
      <c r="E50" s="722"/>
    </row>
    <row r="51" spans="1:12" ht="12" customHeight="1">
      <c r="A51" s="631"/>
      <c r="C51" s="1045" t="str">
        <f>IF(Indice_index!$Z$1=1,"Reforço de emergência de equipamentos sociais e de saúde","Emergency reinforcement of social and health facilities")</f>
        <v>Emergency reinforcement of social and health facilities</v>
      </c>
      <c r="D51" s="1034">
        <v>7.6080000099999996</v>
      </c>
      <c r="E51" s="722"/>
    </row>
    <row r="52" spans="1:12" ht="12" customHeight="1">
      <c r="A52" s="631"/>
      <c r="C52" s="1045" t="str">
        <f>IF(Indice_index!$Z$1=1,"Recursos humanos (contratações, horas extra e outros abonos)","Human resources (hiring, overtime and other allowances)")</f>
        <v>Human resources (hiring, overtime and other allowances)</v>
      </c>
      <c r="D52" s="1034">
        <v>3.6066390300000006</v>
      </c>
      <c r="E52" s="722"/>
    </row>
    <row r="53" spans="1:12" ht="12" customHeight="1">
      <c r="A53" s="631"/>
      <c r="C53" s="1045" t="str">
        <f>IF(Indice_index!$Z$1=1,"Outras despesas","Other expenditures")</f>
        <v>Other expenditures</v>
      </c>
      <c r="D53" s="1034">
        <v>68.201314339999982</v>
      </c>
      <c r="E53" s="722"/>
    </row>
    <row r="54" spans="1:12" ht="3" customHeight="1">
      <c r="A54" s="631"/>
      <c r="C54" s="1479"/>
      <c r="D54" s="1034"/>
      <c r="E54" s="660"/>
    </row>
    <row r="55" spans="1:12" ht="12" customHeight="1">
      <c r="C55" s="1044" t="str">
        <f>IF(Indice_index!$Z$1=1,"Despesa ","Expenditure")</f>
        <v>Expenditure</v>
      </c>
      <c r="D55" s="1037">
        <f>+D47+D41+D32+D17</f>
        <v>1667.6105256600001</v>
      </c>
      <c r="E55" s="677"/>
      <c r="F55" s="676"/>
      <c r="G55" s="645"/>
      <c r="H55" s="645"/>
      <c r="I55" s="645"/>
    </row>
    <row r="56" spans="1:12" ht="6.6" customHeight="1">
      <c r="C56" s="1044"/>
      <c r="D56" s="1037"/>
      <c r="E56" s="661"/>
      <c r="F56" s="645"/>
      <c r="G56" s="645"/>
      <c r="H56" s="645"/>
      <c r="I56" s="645"/>
    </row>
    <row r="57" spans="1:12" ht="12" customHeight="1">
      <c r="A57" s="631"/>
      <c r="C57" s="1044" t="str">
        <f>IF(Indice_index!$Z$1=1,"Linhas de apoio","Benefits line")</f>
        <v>Benefits line</v>
      </c>
      <c r="D57" s="1037">
        <f>SUM(D58:D59)</f>
        <v>30.348601930000001</v>
      </c>
      <c r="E57" s="659"/>
      <c r="F57" s="644"/>
      <c r="G57" s="644"/>
      <c r="H57" s="644"/>
      <c r="I57" s="644"/>
      <c r="J57" s="429"/>
      <c r="K57" s="429"/>
      <c r="L57" s="429"/>
    </row>
    <row r="58" spans="1:12" ht="12" customHeight="1">
      <c r="A58" s="631"/>
      <c r="C58" s="1480" t="str">
        <f>IF(Indice_index!$Z$1=1,"Linha de apoio tesouraria MPE","Treasury support line for SME")</f>
        <v>Treasury support line for SME</v>
      </c>
      <c r="D58" s="1035">
        <v>20.348601930000001</v>
      </c>
      <c r="E58" s="662"/>
      <c r="F58" s="646"/>
      <c r="G58" s="646"/>
      <c r="H58" s="646"/>
      <c r="I58" s="644"/>
      <c r="J58" s="429"/>
      <c r="K58" s="429"/>
      <c r="L58" s="429"/>
    </row>
    <row r="59" spans="1:12" ht="12" customHeight="1">
      <c r="A59" s="631"/>
      <c r="C59" s="1480" t="str">
        <f>IF(Indice_index!$Z$1=1,"Outros apoios","Other benefits")</f>
        <v>Other benefits</v>
      </c>
      <c r="D59" s="1034">
        <v>10</v>
      </c>
      <c r="E59" s="662"/>
      <c r="F59" s="646"/>
      <c r="G59" s="646"/>
      <c r="H59" s="646"/>
      <c r="I59" s="644"/>
      <c r="J59" s="429"/>
      <c r="K59" s="429"/>
      <c r="L59" s="429"/>
    </row>
    <row r="60" spans="1:12" ht="12" customHeight="1">
      <c r="C60" s="1044" t="str">
        <f>IF(Indice_index!$Z$1=1,"Total das linhas","Total Benefits line")</f>
        <v>Total Benefits line</v>
      </c>
      <c r="D60" s="1037">
        <f>SUM(D58:D59)</f>
        <v>30.348601930000001</v>
      </c>
      <c r="E60" s="659"/>
      <c r="F60" s="644"/>
      <c r="G60" s="644"/>
      <c r="H60" s="644"/>
      <c r="I60" s="644"/>
      <c r="J60" s="429"/>
      <c r="K60" s="429"/>
      <c r="L60" s="429"/>
    </row>
    <row r="61" spans="1:12" ht="3" customHeight="1">
      <c r="C61" s="1481"/>
      <c r="D61" s="660"/>
      <c r="E61" s="659"/>
      <c r="F61" s="644"/>
      <c r="G61" s="644"/>
      <c r="H61" s="644"/>
      <c r="I61" s="644"/>
      <c r="J61" s="429"/>
      <c r="K61" s="429"/>
      <c r="L61" s="429"/>
    </row>
    <row r="62" spans="1:12" ht="12" customHeight="1">
      <c r="C62" s="1044" t="str">
        <f>IF(Indice_index!$Z$1=1,"Montante Global de despesa ","Global expenditure amount")</f>
        <v>Global expenditure amount</v>
      </c>
      <c r="D62" s="1037">
        <f>+D60+D55</f>
        <v>1697.9591275900002</v>
      </c>
      <c r="E62" s="728"/>
      <c r="F62" s="664"/>
      <c r="G62" s="644"/>
      <c r="H62" s="644"/>
      <c r="I62" s="644"/>
      <c r="J62" s="429"/>
      <c r="K62" s="429"/>
      <c r="L62" s="429"/>
    </row>
    <row r="63" spans="1:12" ht="3.75" customHeight="1">
      <c r="C63" s="1471"/>
      <c r="D63" s="1471"/>
      <c r="E63" s="660"/>
      <c r="F63" s="645"/>
      <c r="G63" s="645"/>
      <c r="H63" s="645"/>
      <c r="I63" s="645"/>
    </row>
    <row r="64" spans="1:12">
      <c r="C64" s="1482" t="str">
        <f>IF(Indice_index!$Z$1=1,"Notas:","Notes:")</f>
        <v>Notes:</v>
      </c>
      <c r="D64" s="1483"/>
      <c r="E64" s="656"/>
    </row>
    <row r="65" spans="3:9" ht="86.25" customHeight="1">
      <c r="C65" s="1664"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normalidade'"&amp;C156,C157)</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65" s="1664"/>
      <c r="E65" s="666"/>
    </row>
    <row r="66" spans="3:9" ht="28.5" customHeight="1">
      <c r="C66" s="1666"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66" s="1666"/>
      <c r="E66" s="665"/>
    </row>
    <row r="67" spans="3:9" ht="33" customHeight="1">
      <c r="C67" s="1664"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67" s="1664"/>
      <c r="E67" s="666"/>
    </row>
    <row r="68" spans="3:9" ht="26.25" customHeight="1">
      <c r="C68" s="1664"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Mesures from 'ATIVAR.PT Program - Training' were previously considered ain the EPI measure, adaptation of workplaces, cleaning products and services. </v>
      </c>
      <c r="D68" s="1664"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68" s="1664"/>
      <c r="F68" s="1664"/>
      <c r="G68" s="1664"/>
      <c r="H68" s="1664"/>
      <c r="I68" s="1588"/>
    </row>
    <row r="69" spans="3:9">
      <c r="C69" s="1484" t="str">
        <f>IF(Indice_index!$Z$1=1,"O subsector da Administração Local inclui municípios e freguesias.","The local government sub-sector includes municipalities and parishes.")</f>
        <v>The local government sub-sector includes municipalities and parishes.</v>
      </c>
      <c r="D69" s="1485"/>
      <c r="E69" s="658"/>
    </row>
    <row r="70" spans="3:9" ht="6.75" customHeight="1">
      <c r="C70" s="1486"/>
      <c r="D70" s="1486"/>
      <c r="E70" s="659"/>
    </row>
    <row r="71" spans="3:9">
      <c r="C71" s="1487" t="str">
        <f>IF(Indice_index!$Z$1=1,"Fonte:","Source:")</f>
        <v>Source:</v>
      </c>
      <c r="D71" s="1486"/>
      <c r="E71" s="659"/>
    </row>
    <row r="72" spans="3:9" ht="50.25" customHeight="1">
      <c r="C72" s="1664" t="s">
        <v>69</v>
      </c>
      <c r="D72" s="1664"/>
      <c r="E72" s="666"/>
    </row>
    <row r="73" spans="3:9">
      <c r="C73" s="657"/>
      <c r="D73" s="657"/>
    </row>
    <row r="74" spans="3:9">
      <c r="C74" s="657"/>
      <c r="D74" s="657"/>
    </row>
    <row r="75" spans="3:9">
      <c r="C75" s="657"/>
      <c r="D75" s="657"/>
    </row>
    <row r="76" spans="3:9">
      <c r="C76" s="657"/>
      <c r="D76" s="657"/>
    </row>
    <row r="77" spans="3:9">
      <c r="C77" s="657"/>
      <c r="D77" s="657"/>
    </row>
    <row r="78" spans="3:9">
      <c r="C78" s="657"/>
      <c r="D78" s="657"/>
    </row>
    <row r="79" spans="3:9">
      <c r="C79" s="657"/>
      <c r="D79" s="657"/>
    </row>
    <row r="80" spans="3:9">
      <c r="C80" s="657"/>
      <c r="D80" s="657"/>
    </row>
    <row r="81" spans="3:4">
      <c r="C81" s="657"/>
      <c r="D81" s="657"/>
    </row>
    <row r="82" spans="3:4">
      <c r="C82" s="657"/>
      <c r="D82" s="657"/>
    </row>
    <row r="83" spans="3:4">
      <c r="C83" s="657"/>
      <c r="D83" s="657"/>
    </row>
    <row r="84" spans="3:4">
      <c r="C84" s="657"/>
      <c r="D84" s="657"/>
    </row>
    <row r="156" spans="3:3">
      <c r="C156" s="601" t="s">
        <v>70</v>
      </c>
    </row>
    <row r="157" spans="3:3">
      <c r="C157" s="601" t="s">
        <v>71</v>
      </c>
    </row>
  </sheetData>
  <mergeCells count="11">
    <mergeCell ref="C2:D2"/>
    <mergeCell ref="C65:D65"/>
    <mergeCell ref="C66:D66"/>
    <mergeCell ref="C67:D67"/>
    <mergeCell ref="C72:D72"/>
    <mergeCell ref="C4:I4"/>
    <mergeCell ref="A7:A8"/>
    <mergeCell ref="F7:L7"/>
    <mergeCell ref="C68:D68"/>
    <mergeCell ref="E68:F68"/>
    <mergeCell ref="G68:H68"/>
  </mergeCells>
  <conditionalFormatting sqref="E58:E59 D17:D37 D9:D11 D13 D50:D54 D39:D48">
    <cfRule type="cellIs" dxfId="125" priority="21" operator="equal">
      <formula>0</formula>
    </cfRule>
  </conditionalFormatting>
  <conditionalFormatting sqref="D13">
    <cfRule type="cellIs" dxfId="124" priority="16" operator="equal">
      <formula>0</formula>
    </cfRule>
  </conditionalFormatting>
  <conditionalFormatting sqref="D36:D37">
    <cfRule type="cellIs" dxfId="123" priority="17" operator="equal">
      <formula>0</formula>
    </cfRule>
  </conditionalFormatting>
  <conditionalFormatting sqref="F58:H59">
    <cfRule type="cellIs" dxfId="122" priority="15" operator="equal">
      <formula>0</formula>
    </cfRule>
  </conditionalFormatting>
  <conditionalFormatting sqref="D58">
    <cfRule type="cellIs" dxfId="121" priority="8" operator="equal">
      <formula>0</formula>
    </cfRule>
  </conditionalFormatting>
  <conditionalFormatting sqref="D12:D13">
    <cfRule type="cellIs" dxfId="120" priority="11" operator="equal">
      <formula>0</formula>
    </cfRule>
  </conditionalFormatting>
  <conditionalFormatting sqref="D59">
    <cfRule type="cellIs" dxfId="119" priority="7" operator="equal">
      <formula>0</formula>
    </cfRule>
  </conditionalFormatting>
  <conditionalFormatting sqref="D38">
    <cfRule type="cellIs" dxfId="118" priority="6" operator="equal">
      <formula>0</formula>
    </cfRule>
  </conditionalFormatting>
  <conditionalFormatting sqref="D49:D50">
    <cfRule type="cellIs" dxfId="117" priority="4"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78"/>
  <sheetViews>
    <sheetView showGridLines="0" zoomScaleNormal="100" zoomScaleSheetLayoutView="100" workbookViewId="0">
      <selection activeCell="B2" sqref="B2"/>
    </sheetView>
  </sheetViews>
  <sheetFormatPr defaultColWidth="9.140625" defaultRowHeight="12.75"/>
  <cols>
    <col min="1" max="1" width="2.5703125" style="429" customWidth="1"/>
    <col min="2" max="2" width="4.42578125" style="429" customWidth="1"/>
    <col min="3" max="3" width="59.140625" style="430" customWidth="1"/>
    <col min="4" max="4" width="32.42578125" style="430" customWidth="1"/>
    <col min="5" max="6" width="7.42578125" style="448" customWidth="1"/>
    <col min="7" max="7" width="8.85546875" style="448" customWidth="1"/>
    <col min="8" max="8" width="7.5703125" style="448" customWidth="1"/>
    <col min="9" max="9" width="7.42578125" style="448" customWidth="1"/>
    <col min="10" max="10" width="11" style="691" bestFit="1" customWidth="1"/>
    <col min="11" max="11" width="47.140625" style="429" customWidth="1"/>
    <col min="12" max="12" width="9.140625" style="429"/>
    <col min="13" max="14" width="9.140625" style="462"/>
    <col min="15" max="15" width="9.140625" style="429"/>
    <col min="16" max="16" width="10.5703125" style="429" bestFit="1" customWidth="1"/>
    <col min="17" max="17" width="15.42578125" style="429" bestFit="1" customWidth="1"/>
    <col min="18" max="18" width="19.42578125" style="429" bestFit="1" customWidth="1"/>
    <col min="19" max="19" width="9.85546875" style="429" bestFit="1" customWidth="1"/>
    <col min="20" max="20" width="9.140625" style="429"/>
    <col min="21" max="21" width="10.85546875" style="429" bestFit="1" customWidth="1"/>
    <col min="22" max="16384" width="9.140625" style="429"/>
  </cols>
  <sheetData>
    <row r="1" spans="1:18" ht="15" customHeight="1"/>
    <row r="2" spans="1:18" s="190" customFormat="1" ht="38.450000000000003" customHeight="1">
      <c r="B2" s="8"/>
      <c r="C2" s="1665" t="str">
        <f>IF(Indice_index!$Z$1=1,"4 - Impacto orçamental das medidas adotadas no âmbito da COVID-19 por subsetor das Administrações Públicas","4 - Budgetary impact of COVID-19 policy measures by General Government subsector")</f>
        <v>4 - Budgetary impact of COVID-19 policy measures by General Government subsector</v>
      </c>
      <c r="D2" s="1665"/>
      <c r="E2" s="1665"/>
      <c r="F2" s="1665"/>
      <c r="G2" s="1665"/>
      <c r="H2" s="1665"/>
      <c r="I2" s="1665"/>
      <c r="J2" s="692"/>
      <c r="K2" s="361"/>
      <c r="L2" s="201"/>
      <c r="M2" s="460"/>
      <c r="N2" s="461"/>
      <c r="O2" s="191"/>
      <c r="P2" s="189"/>
      <c r="Q2" s="189"/>
      <c r="R2" s="203"/>
    </row>
    <row r="3" spans="1:18" s="190" customFormat="1" ht="15" customHeight="1">
      <c r="D3" s="534"/>
      <c r="E3" s="361"/>
      <c r="F3" s="361"/>
      <c r="G3" s="361"/>
      <c r="H3" s="361"/>
      <c r="I3" s="361"/>
      <c r="J3" s="692"/>
      <c r="K3" s="361"/>
      <c r="L3" s="189"/>
      <c r="M3" s="460"/>
      <c r="N3" s="461"/>
      <c r="O3" s="191"/>
      <c r="P3" s="189"/>
      <c r="Q3" s="189"/>
      <c r="R3" s="189"/>
    </row>
    <row r="4" spans="1:18" s="190" customFormat="1" ht="15" customHeight="1">
      <c r="C4" s="1663" t="str">
        <f>IF(Indice_index!$Z$1=1,"Execução das medidas adotadas no âmbito da COVID-19 por classificação económica e por subsetor das Administrações Públicas","Budgetary implementation of COVID-19 policy measures, according to economic classification and General Government subsector")</f>
        <v>Budgetary implementation of COVID-19 policy measures, according to economic classification and General Government subsector</v>
      </c>
      <c r="D4" s="1663"/>
      <c r="E4" s="1663"/>
      <c r="F4" s="1663"/>
      <c r="G4" s="1663"/>
      <c r="H4" s="1663"/>
      <c r="I4" s="1663"/>
      <c r="J4" s="692"/>
      <c r="K4" s="361"/>
      <c r="L4" s="189"/>
      <c r="M4" s="460"/>
      <c r="N4" s="461"/>
      <c r="O4" s="191"/>
      <c r="P4" s="189"/>
      <c r="Q4" s="189"/>
      <c r="R4" s="189"/>
    </row>
    <row r="5" spans="1:18" ht="15" customHeight="1">
      <c r="A5" s="430"/>
      <c r="B5" s="430"/>
      <c r="J5" s="693"/>
    </row>
    <row r="6" spans="1:18" ht="15" customHeight="1">
      <c r="A6" s="430"/>
      <c r="B6" s="430"/>
      <c r="C6" s="847" t="str">
        <f>+'5 - Conta AC + SS'!C5</f>
        <v>Period: January to May</v>
      </c>
      <c r="D6" s="847"/>
      <c r="E6" s="847"/>
      <c r="F6" s="847"/>
      <c r="G6" s="1056"/>
      <c r="H6" s="1056"/>
      <c r="I6" s="1056" t="str">
        <f>IF(Indice_index!$Z$1=1,"€ Milhões","€ Millions")</f>
        <v>€ Millions</v>
      </c>
      <c r="J6" s="693"/>
    </row>
    <row r="7" spans="1:18" ht="36" customHeight="1">
      <c r="A7" s="430"/>
      <c r="B7" s="430"/>
      <c r="C7" s="1443" t="str">
        <f>IF(Indice_index!$Z$1=1,"Medida COVID-19","COVID-19 Policy Measure")</f>
        <v>COVID-19 Policy Measure</v>
      </c>
      <c r="D7" s="1444" t="str">
        <f>IF(Indice_index!$Z$1=1,"Classificação económica","Economic classification")</f>
        <v>Economic classification</v>
      </c>
      <c r="E7" s="1445" t="str">
        <f>IF(Indice_index!$Z$1=1,"Adm. Central","Central Government")</f>
        <v>Central Government</v>
      </c>
      <c r="F7" s="1445" t="str">
        <f>IF(Indice_index!$Z$1=1,"Seg.  Social","Social Security")</f>
        <v>Social Security</v>
      </c>
      <c r="G7" s="1459" t="str">
        <f>IF(Indice_index!$Z$1=1,"Adm. Regional","Regional Government")</f>
        <v>Regional Government</v>
      </c>
      <c r="H7" s="1459" t="str">
        <f>IF(Indice_index!$Z$1=1,"Adm. Local","Local Government")</f>
        <v>Local Government</v>
      </c>
      <c r="I7" s="1460" t="s">
        <v>67</v>
      </c>
      <c r="J7" s="693"/>
    </row>
    <row r="8" spans="1:18" ht="15" customHeight="1">
      <c r="A8" s="430"/>
      <c r="B8" s="430"/>
      <c r="C8" s="480" t="str">
        <f>IF(Indice_index!$Z$1=1,"Limitação extraordinária de pagamentos por conta em sede de IRS ou IRC","Extraordinary limitation of prepayments related with IRS or IRC")</f>
        <v>Extraordinary limitation of prepayments related with IRS or IRC</v>
      </c>
      <c r="D8" s="1446" t="str">
        <f>IF(Indice_index!$Z$1=1,"R.01 - Imp. Diretos","R.01 - Direct taxes")</f>
        <v>R.01 - Direct taxes</v>
      </c>
      <c r="E8" s="1046">
        <v>28.436111</v>
      </c>
      <c r="F8" s="1048"/>
      <c r="G8" s="1461"/>
      <c r="H8" s="1461"/>
      <c r="I8" s="1036">
        <f>SUM(E8:H8)</f>
        <v>28.436111</v>
      </c>
      <c r="J8" s="693"/>
    </row>
    <row r="9" spans="1:18" ht="15" customHeight="1">
      <c r="A9" s="430"/>
      <c r="B9" s="430"/>
      <c r="C9" s="480" t="str">
        <f>IF(Indice_index!$Z$1=1,"Prorrogação do pagamento do IVA","Extension of VAT payment")</f>
        <v>Extension of VAT payment</v>
      </c>
      <c r="D9" s="1446" t="str">
        <f>IF(Indice_index!$Z$1=1,"R.02 - Imp. Indiretos","R.02 - Indirect taxes")</f>
        <v>R.02 - Indirect taxes</v>
      </c>
      <c r="E9" s="1047">
        <v>364.52847700000001</v>
      </c>
      <c r="F9" s="1048"/>
      <c r="G9" s="1461"/>
      <c r="H9" s="1461"/>
      <c r="I9" s="1036">
        <f t="shared" ref="I9:I64" si="0">SUM(E9:H9)</f>
        <v>364.52847700000001</v>
      </c>
      <c r="J9" s="693"/>
    </row>
    <row r="10" spans="1:18" ht="15" customHeight="1">
      <c r="A10" s="430"/>
      <c r="B10" s="430"/>
      <c r="C10" s="480" t="str">
        <f>IF(Indice_index!$Z$1=1,"Isenção de pagamento da Taxa Social Única (estimativa)","Exemption from payment of the social security contributions (estimate)")</f>
        <v>Exemption from payment of the social security contributions (estimate)</v>
      </c>
      <c r="D10" s="1446" t="str">
        <f>IF(Indice_index!$Z$1=1,"R.03 - Contrib. SS","R.03 - Contributions to the Social Security")</f>
        <v>R.03 - Contributions to the Social Security</v>
      </c>
      <c r="E10" s="1048"/>
      <c r="F10" s="1048">
        <v>5.6952533883549998</v>
      </c>
      <c r="G10" s="1461"/>
      <c r="H10" s="1461"/>
      <c r="I10" s="1036">
        <f t="shared" si="0"/>
        <v>5.6952533883549998</v>
      </c>
      <c r="J10" s="693"/>
    </row>
    <row r="11" spans="1:18" ht="15" customHeight="1">
      <c r="A11" s="430"/>
      <c r="B11" s="430"/>
      <c r="C11" s="480" t="str">
        <f>IF(Indice_index!$Z$1=1,"Adiamento, redução ou isenção de rendas de imóveis","Postponement, reduction or exemption of property rents payment")</f>
        <v>Postponement, reduction or exemption of property rents payment</v>
      </c>
      <c r="D11" s="1446" t="str">
        <f>IF(Indice_index!$Z$1=1,"R.07 - Vendas Bens e Serv.","R.07 - Sale of current goods and services")</f>
        <v>R.07 - Sale of current goods and services</v>
      </c>
      <c r="E11" s="1048"/>
      <c r="F11" s="1048"/>
      <c r="G11" s="1461">
        <v>1.141824E-2</v>
      </c>
      <c r="H11" s="1461"/>
      <c r="I11" s="1036">
        <f t="shared" si="0"/>
        <v>1.141824E-2</v>
      </c>
      <c r="J11" s="693"/>
    </row>
    <row r="12" spans="1:18" ht="15" customHeight="1">
      <c r="A12" s="430"/>
      <c r="B12" s="430"/>
      <c r="C12" s="480" t="str">
        <f>IF(Indice_index!$Z$1=1,"Revenda de vacinas contra a COVID-19 a países terceiros","Resale of vaccines against COVID-19 to third countries")</f>
        <v>Resale of vaccines against COVID-19 to third countries</v>
      </c>
      <c r="D12" s="1446" t="str">
        <f>IF(Indice_index!$Z$1=1,"R.07 - Vendas Bens e Serv.","R.07 - Sale of current goods and services")</f>
        <v>R.07 - Sale of current goods and services</v>
      </c>
      <c r="E12" s="1048">
        <v>-31.921356960000001</v>
      </c>
      <c r="F12" s="1048"/>
      <c r="G12" s="1461"/>
      <c r="H12" s="1461"/>
      <c r="I12" s="1036">
        <f>SUM(E12:H12)</f>
        <v>-31.921356960000001</v>
      </c>
      <c r="J12" s="693"/>
    </row>
    <row r="13" spans="1:18" ht="4.5" customHeight="1">
      <c r="A13" s="430"/>
      <c r="B13" s="430"/>
      <c r="C13" s="1446"/>
      <c r="D13" s="1446"/>
      <c r="E13" s="1047"/>
      <c r="F13" s="1047"/>
      <c r="G13" s="1036"/>
      <c r="H13" s="1036"/>
      <c r="I13" s="1036"/>
      <c r="J13" s="693"/>
    </row>
    <row r="14" spans="1:18" ht="15" customHeight="1">
      <c r="A14" s="430"/>
      <c r="B14" s="430"/>
      <c r="C14" s="1447" t="str">
        <f>IF(Indice_index!$Z$1=1,"Total da Receita efetiva","Total Effective revenue")</f>
        <v>Total Effective revenue</v>
      </c>
      <c r="D14" s="1447"/>
      <c r="E14" s="1442">
        <f>SUM(E8:E12)</f>
        <v>361.04323103999997</v>
      </c>
      <c r="F14" s="1442">
        <f>SUM(F8:F11)</f>
        <v>5.6952533883549998</v>
      </c>
      <c r="G14" s="1037">
        <f>SUM(G8:G11)</f>
        <v>1.141824E-2</v>
      </c>
      <c r="H14" s="1037">
        <f>SUM(H8:H11)</f>
        <v>0</v>
      </c>
      <c r="I14" s="1037">
        <f>SUM(E14:H14)</f>
        <v>366.74990266835499</v>
      </c>
      <c r="J14" s="693"/>
    </row>
    <row r="15" spans="1:18" ht="4.5" customHeight="1">
      <c r="A15" s="430"/>
      <c r="B15" s="430"/>
      <c r="C15" s="657"/>
      <c r="D15" s="657"/>
      <c r="E15" s="658"/>
      <c r="F15" s="658"/>
      <c r="G15" s="658"/>
      <c r="H15" s="658"/>
      <c r="I15" s="658"/>
      <c r="J15" s="693"/>
    </row>
    <row r="16" spans="1:18" ht="15" customHeight="1">
      <c r="A16" s="430"/>
      <c r="B16" s="480"/>
      <c r="C16" s="1039" t="str">
        <f>IF(Indice_index!$Z$1=1,"Saúde: Recursos humanos (contratações, horas extra e outros abonos)","Health: Human resources (hiring, overtime and other allowances)")</f>
        <v>Health: Human resources (hiring, overtime and other allowances)</v>
      </c>
      <c r="D16" s="1039" t="str">
        <f>IF(Indice_index!$Z$1=1,"D.01- Desp. c/ pessoal","D.01 - Employees")</f>
        <v>D.01 - Employees</v>
      </c>
      <c r="E16" s="1034">
        <v>95.469843410000053</v>
      </c>
      <c r="F16" s="1034"/>
      <c r="G16" s="1034">
        <v>25.149152369999999</v>
      </c>
      <c r="H16" s="1034"/>
      <c r="I16" s="1036">
        <f t="shared" si="0"/>
        <v>120.61899578000005</v>
      </c>
      <c r="J16" s="693"/>
    </row>
    <row r="17" spans="1:14" ht="15" customHeight="1">
      <c r="A17" s="430"/>
      <c r="B17" s="480"/>
      <c r="C17" s="1039" t="str">
        <f>IF(Indice_index!$Z$1=1,"Recursos humanos (contratações, horas extra e outros abonos)","Human resources (hiring, overtime and other allowances)")</f>
        <v>Human resources (hiring, overtime and other allowances)</v>
      </c>
      <c r="D17" s="1039" t="str">
        <f>IF(Indice_index!$Z$1=1,"D.01- Desp. c/ pessoal","D.01 - Employees")</f>
        <v>D.01 - Employees</v>
      </c>
      <c r="E17" s="1034">
        <v>3.6002567100000005</v>
      </c>
      <c r="F17" s="1034">
        <v>6.3823199999999995E-3</v>
      </c>
      <c r="G17" s="1034">
        <v>0</v>
      </c>
      <c r="H17" s="1034"/>
      <c r="I17" s="1036">
        <f t="shared" si="0"/>
        <v>3.6066390300000006</v>
      </c>
      <c r="J17" s="693"/>
    </row>
    <row r="18" spans="1:14" ht="15" customHeight="1">
      <c r="A18" s="430"/>
      <c r="B18" s="480"/>
      <c r="C18" s="1039" t="str">
        <f>IF(Indice_index!$Z$1=1,"Saúde: testes COVID-19","Health: COVID-19 tests ")</f>
        <v xml:space="preserve">Health: COVID-19 tests </v>
      </c>
      <c r="D18" s="1039" t="str">
        <f>IF(Indice_index!$Z$1=1,"D.02 - Aq. Bens e Serv.","D.02 - Purchase of goods and services")</f>
        <v>D.02 - Purchase of goods and services</v>
      </c>
      <c r="E18" s="1034">
        <v>208.00417994</v>
      </c>
      <c r="F18" s="1034"/>
      <c r="G18" s="1034">
        <v>9.3873677400000002</v>
      </c>
      <c r="H18" s="1034"/>
      <c r="I18" s="1036">
        <f t="shared" si="0"/>
        <v>217.39154768</v>
      </c>
      <c r="J18" s="693"/>
    </row>
    <row r="19" spans="1:14" ht="15" customHeight="1">
      <c r="A19" s="430"/>
      <c r="B19" s="480"/>
      <c r="C19" s="1039" t="str">
        <f>IF(Indice_index!$Z$1=1,"Saúde: aquisição de vacinas","Health: purchasing of vaccines")</f>
        <v>Health: purchasing of vaccines</v>
      </c>
      <c r="D19" s="1039" t="str">
        <f>IF(Indice_index!$Z$1=1,"D.02 - Aq. Bens e Serv.","D.02 - Purchase of goods and services")</f>
        <v>D.02 - Purchase of goods and services</v>
      </c>
      <c r="E19" s="1034">
        <v>216.15887266000001</v>
      </c>
      <c r="F19" s="1034"/>
      <c r="G19" s="1034"/>
      <c r="H19" s="1034"/>
      <c r="I19" s="1036">
        <f t="shared" si="0"/>
        <v>216.15887266000001</v>
      </c>
      <c r="J19" s="693"/>
    </row>
    <row r="20" spans="1:14" ht="15" customHeight="1">
      <c r="A20" s="430"/>
      <c r="B20" s="480"/>
      <c r="C20" s="1039" t="str">
        <f>IF(Indice_index!$Z$1=1,"Saúde: equipamentos de proteção individual (EPI), medicamentos e outros","Health: personal protective equipment, medicines and others")</f>
        <v>Health: personal protective equipment, medicines and others</v>
      </c>
      <c r="D20" s="1039" t="str">
        <f>IF(Indice_index!$Z$1=1,"D.02 - Aq. Bens e Serv.","D.02 - Purchase of goods and services")</f>
        <v>D.02 - Purchase of goods and services</v>
      </c>
      <c r="E20" s="1034">
        <v>38.066776500000003</v>
      </c>
      <c r="F20" s="1034"/>
      <c r="G20" s="1034">
        <v>5.7853921299999991</v>
      </c>
      <c r="H20" s="1034">
        <v>26.047822329999995</v>
      </c>
      <c r="I20" s="1036">
        <f t="shared" si="0"/>
        <v>69.899990959999997</v>
      </c>
      <c r="J20" s="693"/>
    </row>
    <row r="21" spans="1:14" ht="15" customHeight="1">
      <c r="A21" s="430"/>
      <c r="B21" s="480"/>
      <c r="C21" s="1039" t="str">
        <f>IF(Indice_index!$Z$1=1,"EPI, adaptação dos locais de trabalho, produtos e serviços de limpeza","Other sectors: personal protective equipment, workplaces adaptation, cleaning products and services")</f>
        <v>Other sectors: personal protective equipment, workplaces adaptation, cleaning products and services</v>
      </c>
      <c r="D21" s="1039" t="str">
        <f>IF(Indice_index!$Z$1=1,"D.02 - Aq. Bens e Serv.","D.02 - Purchase of goods and services")</f>
        <v>D.02 - Purchase of goods and services</v>
      </c>
      <c r="E21" s="1034">
        <v>7.920668860000001</v>
      </c>
      <c r="F21" s="1034">
        <v>1.99573877</v>
      </c>
      <c r="G21" s="1034">
        <v>0</v>
      </c>
      <c r="H21" s="1034"/>
      <c r="I21" s="1036">
        <f t="shared" si="0"/>
        <v>9.9164076300000019</v>
      </c>
      <c r="J21" s="693"/>
    </row>
    <row r="22" spans="1:14" ht="15" customHeight="1">
      <c r="A22" s="430"/>
      <c r="B22" s="480"/>
      <c r="C22" s="1039" t="str">
        <f>IF(Indice_index!$Z$1=1,"Universalização da escola digital ","Universalization of the digital school")</f>
        <v>Universalization of the digital school</v>
      </c>
      <c r="D22" s="1039" t="str">
        <f>IF(Indice_index!$Z$1=1,"D.02 - Aq. Bens e Serv.","D.02 - Purchase of goods and services")</f>
        <v>D.02 - Purchase of goods and services</v>
      </c>
      <c r="E22" s="1034">
        <v>1.4618549999999999</v>
      </c>
      <c r="F22" s="1034"/>
      <c r="G22" s="1034"/>
      <c r="H22" s="1034"/>
      <c r="I22" s="1036">
        <f t="shared" si="0"/>
        <v>1.4618549999999999</v>
      </c>
      <c r="J22" s="693"/>
    </row>
    <row r="23" spans="1:14" ht="15" customHeight="1">
      <c r="A23" s="430"/>
      <c r="B23" s="480"/>
      <c r="C23" s="1039" t="str">
        <f>IF(Indice_index!$Z$1=1,"Programa Ativar - Formação","ATIVAR.PT Program - Training")</f>
        <v>ATIVAR.PT Program - Training</v>
      </c>
      <c r="D23" s="1039" t="str">
        <f>IF(Indice_index!$Z$1=1,"D.02 - Aq. Bens e Serv.","D.02 - Purchase of goods and services")</f>
        <v>D.02 - Purchase of goods and services</v>
      </c>
      <c r="E23" s="1034">
        <v>21.221634190000007</v>
      </c>
      <c r="F23" s="1034"/>
      <c r="G23" s="1034"/>
      <c r="H23" s="1034"/>
      <c r="I23" s="1036">
        <f t="shared" ref="I23" si="1">SUM(E23:H23)</f>
        <v>21.221634190000007</v>
      </c>
      <c r="J23" s="693"/>
    </row>
    <row r="24" spans="1:14" ht="15" customHeight="1">
      <c r="A24" s="430"/>
      <c r="B24" s="480"/>
      <c r="C24" s="1039" t="str">
        <f>IF(Indice_index!$Z$1=1,"Outras Aquisições de Bens e Serviços","Other services and goods acquisitions")</f>
        <v>Other services and goods acquisitions</v>
      </c>
      <c r="D24" s="1039" t="str">
        <f>IF(Indice_index!$Z$1=1,"D.02 - Aq. Bens e Serv.","D.02 - Purchase of goods and services")</f>
        <v>D.02 - Purchase of goods and services</v>
      </c>
      <c r="E24" s="1034">
        <v>2.3368755299999999</v>
      </c>
      <c r="F24" s="1034"/>
      <c r="G24" s="1034">
        <v>0.30407574999999998</v>
      </c>
      <c r="H24" s="1034"/>
      <c r="I24" s="1036">
        <f t="shared" si="0"/>
        <v>2.6409512799999999</v>
      </c>
      <c r="J24" s="693"/>
    </row>
    <row r="25" spans="1:14" ht="15" customHeight="1">
      <c r="A25" s="430"/>
      <c r="B25" s="480"/>
      <c r="C25" s="1039" t="str">
        <f>IF(Indice_index!$Z$1=1,"Juros e outros encargos","Interests and other charges")</f>
        <v>Interests and other charges</v>
      </c>
      <c r="D25" s="1039" t="str">
        <f>IF(Indice_index!$Z$1=1,"D.03 - Juros e outros encargos","D.03 - Interests and other charges")</f>
        <v>D.03 - Interests and other charges</v>
      </c>
      <c r="E25" s="1034">
        <v>7.0887000000000001E-4</v>
      </c>
      <c r="F25" s="1034"/>
      <c r="G25" s="1034"/>
      <c r="H25" s="1034"/>
      <c r="I25" s="1036">
        <f t="shared" ref="I25" si="2">SUM(E25:H25)</f>
        <v>7.0887000000000001E-4</v>
      </c>
      <c r="J25" s="693"/>
    </row>
    <row r="26" spans="1:14" ht="15" customHeight="1">
      <c r="A26" s="430"/>
      <c r="B26" s="480"/>
      <c r="C26" s="1040" t="str">
        <f>IF(Indice_index!$Z$1=1,"Isolamento profilático","Prophylactic isolation benefit")</f>
        <v>Prophylactic isolation benefit</v>
      </c>
      <c r="D26" s="1041" t="str">
        <f>IF(Indice_index!$Z$1=1,"D.04 - Transf. Correntes","D.04 - Current transfers")</f>
        <v>D.04 - Current transfers</v>
      </c>
      <c r="E26" s="1034"/>
      <c r="F26" s="1034">
        <v>186.04445568</v>
      </c>
      <c r="G26" s="1034"/>
      <c r="H26" s="1034"/>
      <c r="I26" s="1036">
        <f t="shared" si="0"/>
        <v>186.04445568</v>
      </c>
      <c r="J26" s="693"/>
    </row>
    <row r="27" spans="1:14" s="471" customFormat="1" ht="15" customHeight="1">
      <c r="A27" s="430"/>
      <c r="B27" s="480"/>
      <c r="C27" s="1039" t="str">
        <f>IF(Indice_index!$Z$1=1,"Apoio a associações humanitárias de bombeiros","Financial support to humanitarian firefighters associations")</f>
        <v>Financial support to humanitarian firefighters associations</v>
      </c>
      <c r="D27" s="1039" t="str">
        <f>IF(Indice_index!$Z$1=1,"D.04 - Transf. Correntes","D.04 - Current transfers")</f>
        <v>D.04 - Current transfers</v>
      </c>
      <c r="E27" s="1034">
        <v>0.15725</v>
      </c>
      <c r="F27" s="1034"/>
      <c r="G27" s="1034"/>
      <c r="H27" s="1034"/>
      <c r="I27" s="1036">
        <f t="shared" ref="I27" si="3">SUM(E27:H27)</f>
        <v>0.15725</v>
      </c>
      <c r="J27" s="694"/>
      <c r="M27" s="472"/>
      <c r="N27" s="472"/>
    </row>
    <row r="28" spans="1:14" s="471" customFormat="1" ht="15" customHeight="1">
      <c r="A28" s="430"/>
      <c r="B28" s="480"/>
      <c r="C28" s="1039" t="str">
        <f>IF(Indice_index!$Z$1=1,"Subsídio de doença por infecção SARS-CoV-2","SARS-CoV-2 infection sickness benefit")</f>
        <v>SARS-CoV-2 infection sickness benefit</v>
      </c>
      <c r="D28" s="1039" t="str">
        <f>IF(Indice_index!$Z$1=1,"D.04 - Transf. Correntes","D.04 - Current transfers")</f>
        <v>D.04 - Current transfers</v>
      </c>
      <c r="E28" s="1034"/>
      <c r="F28" s="1034">
        <v>59.909538399999995</v>
      </c>
      <c r="G28" s="1034"/>
      <c r="H28" s="1034"/>
      <c r="I28" s="1036">
        <f t="shared" si="0"/>
        <v>59.909538399999995</v>
      </c>
      <c r="J28" s="694"/>
      <c r="M28" s="472"/>
      <c r="N28" s="472"/>
    </row>
    <row r="29" spans="1:14" ht="15" customHeight="1">
      <c r="A29" s="430"/>
      <c r="B29" s="480"/>
      <c r="C29" s="1039" t="str">
        <f>IF(Indice_index!$Z$1=1,"Apoios extraordinários ao rendimento dos trabalhadores","Extraordinary support of workers income")</f>
        <v>Extraordinary support of workers income</v>
      </c>
      <c r="D29" s="1039" t="str">
        <f>IF(Indice_index!$Z$1=1,"D.04 - Transf. Correntes","D.04 - Current transfers")</f>
        <v>D.04 - Current transfers</v>
      </c>
      <c r="E29" s="1034"/>
      <c r="F29" s="1034">
        <v>74.20757922</v>
      </c>
      <c r="G29" s="1034"/>
      <c r="H29" s="1034"/>
      <c r="I29" s="1036">
        <f t="shared" si="0"/>
        <v>74.20757922</v>
      </c>
      <c r="J29" s="693"/>
    </row>
    <row r="30" spans="1:14" ht="15" customHeight="1">
      <c r="A30" s="430"/>
      <c r="B30" s="480"/>
      <c r="C30" s="1039" t="str">
        <f>IF(Indice_index!$Z$1=1,"Apoio extraordinário à retoma progressiva de atividade","Extraordinary support for the progressive resumption of activity")</f>
        <v>Extraordinary support for the progressive resumption of activity</v>
      </c>
      <c r="D30" s="1039" t="str">
        <f>IF(Indice_index!$Z$1=1,"D.04 - Transf. Correntes","D.04 - Current transfers")</f>
        <v>D.04 - Current transfers</v>
      </c>
      <c r="E30" s="1034"/>
      <c r="F30" s="1034">
        <v>29.291757749999995</v>
      </c>
      <c r="G30" s="1034"/>
      <c r="H30" s="1034"/>
      <c r="I30" s="1036">
        <f t="shared" si="0"/>
        <v>29.291757749999995</v>
      </c>
      <c r="J30" s="693"/>
    </row>
    <row r="31" spans="1:14" ht="15" customHeight="1">
      <c r="A31" s="430"/>
      <c r="B31" s="480"/>
      <c r="C31" s="1039" t="str">
        <f>IF(Indice_index!$Z$1=1,"Layoff simplificado","Simplified layoff")</f>
        <v>Simplified layoff</v>
      </c>
      <c r="D31" s="1039" t="str">
        <f>IF(Indice_index!$Z$1=1,"D.04 - Transf. Correntes","D.04 - Current transfers")</f>
        <v>D.04 - Current transfers</v>
      </c>
      <c r="E31" s="1034"/>
      <c r="F31" s="1034">
        <v>9.9358415099999977</v>
      </c>
      <c r="G31" s="1034"/>
      <c r="H31" s="1034"/>
      <c r="I31" s="1036">
        <f t="shared" si="0"/>
        <v>9.9358415099999977</v>
      </c>
      <c r="J31" s="693"/>
    </row>
    <row r="32" spans="1:14" s="430" customFormat="1" ht="15" customHeight="1">
      <c r="B32" s="480"/>
      <c r="C32" s="1039" t="str">
        <f>IF(Indice_index!$Z$1=1,"Subsídios de assistência a filho e a neto","Allowances for child and grandchild's care")</f>
        <v>Allowances for child and grandchild's care</v>
      </c>
      <c r="D32" s="1039" t="str">
        <f>IF(Indice_index!$Z$1=1,"D.04 - Transf. Correntes","D.04 - Current transfers")</f>
        <v>D.04 - Current transfers</v>
      </c>
      <c r="E32" s="1034"/>
      <c r="F32" s="1034">
        <v>13.64755965</v>
      </c>
      <c r="G32" s="1034"/>
      <c r="H32" s="1034"/>
      <c r="I32" s="1036">
        <f t="shared" si="0"/>
        <v>13.64755965</v>
      </c>
      <c r="J32" s="693"/>
      <c r="M32" s="463"/>
      <c r="N32" s="463"/>
    </row>
    <row r="33" spans="1:14" s="430" customFormat="1" ht="15" customHeight="1">
      <c r="B33" s="480"/>
      <c r="C33" s="1039" t="str">
        <f>IF(Indice_index!$Z$1=1,"Programa de Apoio a Edifícios Mais Sustentáveis","More Sustainable Building Support Program")</f>
        <v>More Sustainable Building Support Program</v>
      </c>
      <c r="D33" s="1039" t="str">
        <f>IF(Indice_index!$Z$1=1,"D.04 - Transf. Correntes","D.04 - Current transfers")</f>
        <v>D.04 - Current transfers</v>
      </c>
      <c r="E33" s="1034">
        <v>28.854445479999999</v>
      </c>
      <c r="F33" s="1034"/>
      <c r="G33" s="1034"/>
      <c r="H33" s="1034"/>
      <c r="I33" s="1036">
        <f t="shared" si="0"/>
        <v>28.854445479999999</v>
      </c>
      <c r="J33" s="693"/>
      <c r="M33" s="463"/>
      <c r="N33" s="463"/>
    </row>
    <row r="34" spans="1:14" ht="15" customHeight="1">
      <c r="A34" s="430"/>
      <c r="B34" s="480"/>
      <c r="C34" s="1039" t="str">
        <f>IF(Indice_index!$Z$1=1,"Apoios sociais às famílias","Social benefits to families")</f>
        <v>Social benefits to families</v>
      </c>
      <c r="D34" s="1039" t="str">
        <f>IF(Indice_index!$Z$1=1,"D.04 - Transf. Correntes","D.04 - Current transfers")</f>
        <v>D.04 - Current transfers</v>
      </c>
      <c r="E34" s="1034"/>
      <c r="F34" s="1034">
        <v>8.1444139</v>
      </c>
      <c r="G34" s="1034"/>
      <c r="H34" s="1034"/>
      <c r="I34" s="1036">
        <f t="shared" si="0"/>
        <v>8.1444139</v>
      </c>
      <c r="J34" s="693"/>
    </row>
    <row r="35" spans="1:14" ht="15" customHeight="1">
      <c r="A35" s="430"/>
      <c r="B35" s="480"/>
      <c r="C35" s="1039" t="str">
        <f>IF(Indice_index!$Z$1=1,"Programa Ativar - Bolsas de formação","ATIVAR.PT Program - Training Scholarships")</f>
        <v>ATIVAR.PT Program - Training Scholarships</v>
      </c>
      <c r="D35" s="1039" t="str">
        <f>IF(Indice_index!$Z$1=1,"D.04 - Transf. Correntes","D.04 - Current transfers")</f>
        <v>D.04 - Current transfers</v>
      </c>
      <c r="E35" s="1034">
        <v>24.556125340000001</v>
      </c>
      <c r="F35" s="1034"/>
      <c r="G35" s="1034"/>
      <c r="H35" s="1034"/>
      <c r="I35" s="1036">
        <f t="shared" si="0"/>
        <v>24.556125340000001</v>
      </c>
      <c r="J35" s="693"/>
    </row>
    <row r="36" spans="1:14" s="430" customFormat="1" ht="15" customHeight="1">
      <c r="B36" s="480"/>
      <c r="C36" s="1039" t="str">
        <f>IF(Indice_index!$Z$1=1,"Outros apoios de proteção social","Other social protection benefits")</f>
        <v>Other social protection benefits</v>
      </c>
      <c r="D36" s="1039" t="str">
        <f>IF(Indice_index!$Z$1=1,"D.04 - Transf. Correntes","D.04 - Current transfers")</f>
        <v>D.04 - Current transfers</v>
      </c>
      <c r="E36" s="1034"/>
      <c r="F36" s="1034">
        <v>1.7272740799999999</v>
      </c>
      <c r="G36" s="1034"/>
      <c r="H36" s="1034">
        <v>8.5942341800000026</v>
      </c>
      <c r="I36" s="1036">
        <f t="shared" si="0"/>
        <v>10.321508260000002</v>
      </c>
      <c r="J36" s="693"/>
      <c r="M36" s="463"/>
      <c r="N36" s="463"/>
    </row>
    <row r="37" spans="1:14" s="430" customFormat="1" ht="15" customHeight="1">
      <c r="B37" s="480"/>
      <c r="C37" s="1039" t="str">
        <f>IF(Indice_index!$Z$1=1,"Apoios ao emprego (inclui complementos layoff)","Employment benefits (include layoff complements)")</f>
        <v>Employment benefits (include layoff complements)</v>
      </c>
      <c r="D37" s="1039" t="str">
        <f>IF(Indice_index!$Z$1=1,"D.04 - Transf. Correntes","D.04 - Current transfers")</f>
        <v>D.04 - Current transfers</v>
      </c>
      <c r="E37" s="1034"/>
      <c r="F37" s="1034"/>
      <c r="G37" s="1034">
        <v>3.1931966899999846</v>
      </c>
      <c r="H37" s="1034"/>
      <c r="I37" s="1036">
        <f t="shared" si="0"/>
        <v>3.1931966899999846</v>
      </c>
      <c r="J37" s="693"/>
      <c r="M37" s="463"/>
      <c r="N37" s="463"/>
    </row>
    <row r="38" spans="1:14" ht="15" customHeight="1">
      <c r="A38" s="430"/>
      <c r="B38" s="721"/>
      <c r="C38" s="1039" t="str">
        <f>IF(Indice_index!$Z$1=1,"Prestações por doenças profissionais","Benefits for professional illnesses")</f>
        <v>Benefits for professional illnesses</v>
      </c>
      <c r="D38" s="1039" t="str">
        <f>IF(Indice_index!$Z$1=1,"D.04 - Transf. Correntes","D.04 - Current transfers")</f>
        <v>D.04 - Current transfers</v>
      </c>
      <c r="E38" s="1034"/>
      <c r="F38" s="1034">
        <v>0.98632767999999993</v>
      </c>
      <c r="G38" s="1034"/>
      <c r="H38" s="1034"/>
      <c r="I38" s="1034">
        <f t="shared" si="0"/>
        <v>0.98632767999999993</v>
      </c>
      <c r="J38" s="430"/>
    </row>
    <row r="39" spans="1:14" ht="15" customHeight="1">
      <c r="A39" s="430"/>
      <c r="B39" s="480"/>
      <c r="C39" s="1039" t="str">
        <f>IF(Indice_index!$Z$1=1,"Apoios a setores de produção agrícola","Benefits to agricultural production sectors")</f>
        <v>Benefits to agricultural production sectors</v>
      </c>
      <c r="D39" s="1039" t="str">
        <f>IF(Indice_index!$Z$1=1,"D.04 - Transf. Correntes","D.04 - Current transfers")</f>
        <v>D.04 - Current transfers</v>
      </c>
      <c r="E39" s="1034">
        <v>8.2524270000000011E-2</v>
      </c>
      <c r="F39" s="1034"/>
      <c r="G39" s="1034"/>
      <c r="H39" s="1034"/>
      <c r="I39" s="1036">
        <f t="shared" si="0"/>
        <v>8.2524270000000011E-2</v>
      </c>
      <c r="J39" s="693"/>
    </row>
    <row r="40" spans="1:14" s="430" customFormat="1" ht="15" customHeight="1">
      <c r="B40" s="480"/>
      <c r="C40" s="1039" t="str">
        <f>IF(Indice_index!$Z$1=1,"Apoio Social Extraordinário para Profissionais da Cultura","Extraordinary Social Benefit for Culture Professionals")</f>
        <v>Extraordinary Social Benefit for Culture Professionals</v>
      </c>
      <c r="D40" s="1039" t="str">
        <f>IF(Indice_index!$Z$1=1,"D.04 - Transf. Correntes","D.04 - Current transfers")</f>
        <v>D.04 - Current transfers</v>
      </c>
      <c r="E40" s="1034">
        <v>7.8108179999999999E-2</v>
      </c>
      <c r="F40" s="1034"/>
      <c r="G40" s="1034"/>
      <c r="H40" s="1034"/>
      <c r="I40" s="1036">
        <f t="shared" si="0"/>
        <v>7.8108179999999999E-2</v>
      </c>
      <c r="J40" s="693"/>
      <c r="M40" s="463"/>
      <c r="N40" s="463"/>
    </row>
    <row r="41" spans="1:14" s="430" customFormat="1" ht="15" customHeight="1">
      <c r="B41" s="480"/>
      <c r="C41" s="1039" t="str">
        <f>IF(Indice_index!$Z$1=1,"Compensação ao aumento do valor da retribuição mínima mensal garantida","Compensation for the increase in the guaranteed minimum monthly salary")</f>
        <v>Compensation for the increase in the guaranteed minimum monthly salary</v>
      </c>
      <c r="D41" s="1039" t="str">
        <f>IF(Indice_index!$Z$1=1,"D.04 - Transf. Correntes","D.04 - Current transfers")</f>
        <v>D.04 - Current transfers</v>
      </c>
      <c r="E41" s="1034">
        <v>71.734712000000002</v>
      </c>
      <c r="F41" s="1034"/>
      <c r="G41" s="1034"/>
      <c r="H41" s="1034"/>
      <c r="I41" s="1036">
        <f t="shared" ref="I41:I43" si="4">SUM(E41:H41)</f>
        <v>71.734712000000002</v>
      </c>
      <c r="J41" s="693"/>
      <c r="M41" s="463"/>
      <c r="N41" s="463"/>
    </row>
    <row r="42" spans="1:14" s="430" customFormat="1" ht="15" customHeight="1">
      <c r="B42" s="480"/>
      <c r="C42" s="1039" t="str">
        <f>IF(Indice_index!$Z$1=1,"Programa Garantir Cultura","Guarantee Culture Program")</f>
        <v>Guarantee Culture Program</v>
      </c>
      <c r="D42" s="1039" t="str">
        <f>IF(Indice_index!$Z$1=1,"D.04 - Transf. Correntes","D.04 - Current transfers")</f>
        <v>D.04 - Current transfers</v>
      </c>
      <c r="E42" s="1034">
        <v>3.7496298699999997</v>
      </c>
      <c r="F42" s="1034"/>
      <c r="G42" s="1034"/>
      <c r="H42" s="1034"/>
      <c r="I42" s="1036">
        <f t="shared" si="4"/>
        <v>3.7496298699999997</v>
      </c>
      <c r="J42" s="693"/>
      <c r="M42" s="463"/>
      <c r="N42" s="463"/>
    </row>
    <row r="43" spans="1:14" s="430" customFormat="1" ht="15" customHeight="1">
      <c r="B43" s="480"/>
      <c r="C43" s="1039" t="s">
        <v>595</v>
      </c>
      <c r="D43" s="1039" t="str">
        <f>IF(Indice_index!$Z$1=1,"D.04 - Transf. Correntes","D.04 - Current transfers")</f>
        <v>D.04 - Current transfers</v>
      </c>
      <c r="E43" s="1034">
        <v>0.98677000000000004</v>
      </c>
      <c r="F43" s="1034"/>
      <c r="G43" s="1034"/>
      <c r="H43" s="1034"/>
      <c r="I43" s="1036">
        <f t="shared" si="4"/>
        <v>0.98677000000000004</v>
      </c>
      <c r="J43" s="693"/>
      <c r="M43" s="463"/>
      <c r="N43" s="463"/>
    </row>
    <row r="44" spans="1:14" ht="15" customHeight="1">
      <c r="A44" s="430"/>
      <c r="B44" s="480"/>
      <c r="C44" s="1039" t="str">
        <f>IF(Indice_index!$Z$1=1,"Outros apoios","Other Central Government support expenditure")</f>
        <v>Other Central Government support expenditure</v>
      </c>
      <c r="D44" s="1039" t="str">
        <f>IF(Indice_index!$Z$1=1,"D.04 - Transf. Correntes","D.04 - Current transfers")</f>
        <v>D.04 - Current transfers</v>
      </c>
      <c r="E44" s="1034">
        <v>5.8724246000000004</v>
      </c>
      <c r="F44" s="1034"/>
      <c r="G44" s="1034">
        <v>12.16796776</v>
      </c>
      <c r="H44" s="1034"/>
      <c r="I44" s="1036">
        <f>SUM(E44:H44)</f>
        <v>18.040392359999998</v>
      </c>
      <c r="J44" s="693"/>
    </row>
    <row r="45" spans="1:14" ht="15" customHeight="1">
      <c r="A45" s="430"/>
      <c r="B45" s="480"/>
      <c r="C45" s="1039" t="str">
        <f>IF(Indice_index!$Z$1=1,"Novo incentivo à normalização da atividade empresarial","New extraordinary incentive to normalization")</f>
        <v>New extraordinary incentive to normalization</v>
      </c>
      <c r="D45" s="1039" t="str">
        <f>IF(Indice_index!$Z$1=1,"D.05 - Subsídios","D.05 - Subsidies")</f>
        <v>D.05 - Subsidies</v>
      </c>
      <c r="E45" s="1034">
        <v>100.282</v>
      </c>
      <c r="F45" s="1034"/>
      <c r="G45" s="1034"/>
      <c r="H45" s="1034"/>
      <c r="I45" s="1036">
        <f t="shared" si="0"/>
        <v>100.282</v>
      </c>
      <c r="J45" s="693"/>
      <c r="K45" s="535"/>
    </row>
    <row r="46" spans="1:14" ht="15" customHeight="1">
      <c r="A46" s="430"/>
      <c r="B46" s="480"/>
      <c r="C46" s="1039" t="str">
        <f>+IF(Indice_index!$Z$1=1,"Programa AUTOvoucher","AUTOvoucher Program")</f>
        <v>AUTOvoucher Program</v>
      </c>
      <c r="D46" s="1039" t="str">
        <f>IF(Indice_index!$Z$1=1,"D.05 - Subsídios","D.05 - Subsidies")</f>
        <v>D.05 - Subsidies</v>
      </c>
      <c r="E46" s="1034">
        <v>30</v>
      </c>
      <c r="F46" s="1034"/>
      <c r="G46" s="1462"/>
      <c r="H46" s="1462"/>
      <c r="I46" s="1036">
        <f t="shared" si="0"/>
        <v>30</v>
      </c>
      <c r="J46" s="693"/>
    </row>
    <row r="47" spans="1:14" ht="15" customHeight="1">
      <c r="A47" s="430"/>
      <c r="B47" s="480"/>
      <c r="C47" s="1039" t="str">
        <f>IF(Indice_index!$Z$1=1,"Programa Ativar","ATIVAR.PT Program")</f>
        <v>ATIVAR.PT Program</v>
      </c>
      <c r="D47" s="1039" t="str">
        <f>IF(Indice_index!$Z$1=1,"D.05 - Subsídios","D.05 - Subsidies")</f>
        <v>D.05 - Subsidies</v>
      </c>
      <c r="E47" s="1034">
        <v>103.46786612000002</v>
      </c>
      <c r="F47" s="1034"/>
      <c r="G47" s="1034"/>
      <c r="H47" s="1034"/>
      <c r="I47" s="1036">
        <f t="shared" si="0"/>
        <v>103.46786612000002</v>
      </c>
      <c r="J47" s="693"/>
    </row>
    <row r="48" spans="1:14" ht="15" customHeight="1">
      <c r="A48" s="430"/>
      <c r="B48" s="480"/>
      <c r="C48" s="1039" t="str">
        <f>IF(Indice_index!$Z$1=1,"Reforço de emergência de equipamentos sociais e de saúde","Emergency reinforcement of social and health facilities")</f>
        <v>Emergency reinforcement of social and health facilities</v>
      </c>
      <c r="D48" s="1039" t="str">
        <f>IF(Indice_index!$Z$1=1,"D.05 - Subsídios","D.05 - Subsidies")</f>
        <v>D.05 - Subsidies</v>
      </c>
      <c r="E48" s="1034">
        <v>7.0284784599999997</v>
      </c>
      <c r="F48" s="1034">
        <v>0.57952155000000005</v>
      </c>
      <c r="G48" s="1034"/>
      <c r="H48" s="1034"/>
      <c r="I48" s="1036">
        <f t="shared" si="0"/>
        <v>7.6080000099999996</v>
      </c>
      <c r="J48" s="693"/>
    </row>
    <row r="49" spans="1:14" ht="15" customHeight="1">
      <c r="A49" s="430"/>
      <c r="B49" s="480"/>
      <c r="C49" s="1039" t="str">
        <f>IF(Indice_index!$Z$1=1,"Incentivo extraordinário à normalização","Extraordinary incentive to normalization")</f>
        <v>Extraordinary incentive to normalization</v>
      </c>
      <c r="D49" s="1039" t="str">
        <f>IF(Indice_index!$Z$1=1,"D.05 - Subsídios","D.05 - Subsidies")</f>
        <v>D.05 - Subsidies</v>
      </c>
      <c r="E49" s="1034">
        <v>0.34537111999999998</v>
      </c>
      <c r="F49" s="1034"/>
      <c r="G49" s="1034"/>
      <c r="H49" s="1034"/>
      <c r="I49" s="1036">
        <f t="shared" si="0"/>
        <v>0.34537111999999998</v>
      </c>
      <c r="J49" s="693"/>
    </row>
    <row r="50" spans="1:14" ht="15" customHeight="1">
      <c r="A50" s="430"/>
      <c r="B50" s="480"/>
      <c r="C50" s="1039" t="str">
        <f>IF(Indice_index!$Z$1=1,"Apoios ao cinema e audiovisual","Support to cinema and audiovisual activities")</f>
        <v>Support to cinema and audiovisual activities</v>
      </c>
      <c r="D50" s="1039" t="str">
        <f>IF(Indice_index!$Z$1=1,"D.05 - Subsídios","D.05 - Subsidies")</f>
        <v>D.05 - Subsidies</v>
      </c>
      <c r="E50" s="1034">
        <v>0.50896461999999998</v>
      </c>
      <c r="F50" s="1034"/>
      <c r="G50" s="1034"/>
      <c r="H50" s="1034"/>
      <c r="I50" s="1036">
        <f t="shared" si="0"/>
        <v>0.50896461999999998</v>
      </c>
      <c r="J50" s="693"/>
    </row>
    <row r="51" spans="1:14" ht="15" customHeight="1">
      <c r="A51" s="430"/>
      <c r="B51" s="480"/>
      <c r="C51" s="1039" t="str">
        <f>IF(Indice_index!$Z$1=1,"Outros apoios a empresas","Other benefits to companies")</f>
        <v>Other benefits to companies</v>
      </c>
      <c r="D51" s="1039" t="str">
        <f>IF(Indice_index!$Z$1=1,"D.05 - Subsídios","D.05 - Subsidies")</f>
        <v>D.05 - Subsidies</v>
      </c>
      <c r="E51" s="1034">
        <v>1.9783688899999998</v>
      </c>
      <c r="F51" s="1034"/>
      <c r="G51" s="1034">
        <v>2.2948154100000004</v>
      </c>
      <c r="H51" s="1034">
        <v>3.5232606100000003</v>
      </c>
      <c r="I51" s="1036">
        <f t="shared" si="0"/>
        <v>7.7964449100000008</v>
      </c>
      <c r="J51" s="693"/>
    </row>
    <row r="52" spans="1:14" ht="15" customHeight="1">
      <c r="A52" s="430"/>
      <c r="B52" s="480"/>
      <c r="C52" s="1039" t="str">
        <f>IF(Indice_index!$Z$1=1,"Outros encargos","Other charges")</f>
        <v>Other charges</v>
      </c>
      <c r="D52" s="1039" t="str">
        <f>IF(Indice_index!$Z$1=1,"D.06/D.11 - Otr. Desp. Correntes/Capital","D.06 - Other current/capital expenditure")</f>
        <v>D.06 - Other current/capital expenditure</v>
      </c>
      <c r="E52" s="1034">
        <v>2.4446579500000007</v>
      </c>
      <c r="F52" s="1034"/>
      <c r="G52" s="1462">
        <v>0</v>
      </c>
      <c r="H52" s="1462">
        <v>4.3108713500000002</v>
      </c>
      <c r="I52" s="1036">
        <f t="shared" si="0"/>
        <v>6.755529300000001</v>
      </c>
      <c r="J52" s="693"/>
    </row>
    <row r="53" spans="1:14" ht="15" customHeight="1">
      <c r="A53" s="430"/>
      <c r="B53" s="480"/>
      <c r="C53" s="1039" t="str">
        <f>IF(Indice_index!$Z$1=1,"Saúde: equipamentos e outros","Health: equipment and others")</f>
        <v>Health: equipment and others</v>
      </c>
      <c r="D53" s="1039" t="str">
        <f>IF(Indice_index!$Z$1=1,"D.07 - Aq. Bens de Capital","D.07 - Investment")</f>
        <v>D.07 - Investment</v>
      </c>
      <c r="E53" s="1034">
        <v>4.8306929599999977</v>
      </c>
      <c r="F53" s="1034"/>
      <c r="G53" s="1034">
        <v>0.41020127999999995</v>
      </c>
      <c r="H53" s="1034"/>
      <c r="I53" s="1036">
        <f t="shared" si="0"/>
        <v>5.2408942399999976</v>
      </c>
      <c r="J53" s="693"/>
    </row>
    <row r="54" spans="1:14" ht="15" customHeight="1">
      <c r="A54" s="430"/>
      <c r="B54" s="480"/>
      <c r="C54" s="1039" t="str">
        <f>IF(Indice_index!$Z$1=1,"Apoio ao teletrabalho","Support to teleworking")</f>
        <v>Support to teleworking</v>
      </c>
      <c r="D54" s="1039" t="str">
        <f>IF(Indice_index!$Z$1=1,"D.07 - Aq. Bens de Capital","D.07 - Investment")</f>
        <v>D.07 - Investment</v>
      </c>
      <c r="E54" s="1034">
        <v>2.2946535799999994</v>
      </c>
      <c r="F54" s="1034"/>
      <c r="G54" s="1034">
        <v>0</v>
      </c>
      <c r="H54" s="1034"/>
      <c r="I54" s="1036">
        <f t="shared" si="0"/>
        <v>2.2946535799999994</v>
      </c>
      <c r="J54" s="693"/>
    </row>
    <row r="55" spans="1:14" ht="15" customHeight="1">
      <c r="A55" s="430"/>
      <c r="B55" s="480"/>
      <c r="C55" s="1039" t="str">
        <f>IF(Indice_index!$Z$1=1,"Outros equipamentos","Other equipment")</f>
        <v>Other equipment</v>
      </c>
      <c r="D55" s="1039" t="str">
        <f>IF(Indice_index!$Z$1=1,"D.07 - Aq. Bens de Capital","D.07 - Investment")</f>
        <v>D.07 - Investment</v>
      </c>
      <c r="E55" s="1035">
        <v>5.951228920000001</v>
      </c>
      <c r="F55" s="1034"/>
      <c r="G55" s="1034">
        <v>6.3958320000000013E-2</v>
      </c>
      <c r="H55" s="1034">
        <v>1.0019753400000004</v>
      </c>
      <c r="I55" s="1036">
        <f t="shared" si="0"/>
        <v>7.0171625800000017</v>
      </c>
      <c r="J55" s="693"/>
    </row>
    <row r="56" spans="1:14" ht="15" customHeight="1">
      <c r="A56" s="430"/>
      <c r="B56" s="480"/>
      <c r="C56" s="1039" t="str">
        <f>IF(Indice_index!$Z$1=1,"Universalização da escola digital","Universalization of the digital school")</f>
        <v>Universalization of the digital school</v>
      </c>
      <c r="D56" s="1039" t="str">
        <f>IF(Indice_index!$Z$1=1,"D.07 - Aq. Bens de Capital","D.07 - Investment")</f>
        <v>D.07 - Investment</v>
      </c>
      <c r="E56" s="1035">
        <v>120.91737809</v>
      </c>
      <c r="F56" s="1034"/>
      <c r="G56" s="1034">
        <v>0</v>
      </c>
      <c r="H56" s="1034"/>
      <c r="I56" s="1036">
        <f t="shared" si="0"/>
        <v>120.91737809</v>
      </c>
      <c r="J56" s="693"/>
    </row>
    <row r="57" spans="1:14" ht="15" customHeight="1">
      <c r="A57" s="430"/>
      <c r="B57" s="480"/>
      <c r="C57" s="1039" t="str">
        <f>IF(Indice_index!$Z$1=1,"Programa Adaptar Turismo","Adaptar Program")</f>
        <v>Adaptar Program</v>
      </c>
      <c r="D57" s="1039" t="str">
        <f>IF(Indice_index!$Z$1=1,"D.08 - Transf. Capital","D.08 - Capital transfers")</f>
        <v>D.08 - Capital transfers</v>
      </c>
      <c r="E57" s="1035">
        <v>2.4116499300000003</v>
      </c>
      <c r="F57" s="1034"/>
      <c r="G57" s="1034">
        <v>0</v>
      </c>
      <c r="H57" s="1034"/>
      <c r="I57" s="1036">
        <f t="shared" si="0"/>
        <v>2.4116499300000003</v>
      </c>
      <c r="J57" s="693"/>
    </row>
    <row r="58" spans="1:14" ht="15" customHeight="1">
      <c r="A58" s="430"/>
      <c r="B58" s="480"/>
      <c r="C58" s="1039" t="str">
        <f>IF(Indice_index!$Z$1=1,"Programa Adaptar","Adaptar Program")</f>
        <v>Adaptar Program</v>
      </c>
      <c r="D58" s="1039" t="str">
        <f>IF(Indice_index!$Z$1=1,"D.08 - Transf. Capital","D.08 - Capital transfers")</f>
        <v>D.08 - Capital transfers</v>
      </c>
      <c r="E58" s="1035">
        <v>3.38017E-3</v>
      </c>
      <c r="F58" s="1034"/>
      <c r="G58" s="1034">
        <v>0.16780108000000002</v>
      </c>
      <c r="H58" s="1034"/>
      <c r="I58" s="1036">
        <f t="shared" si="0"/>
        <v>0.17118125000000001</v>
      </c>
      <c r="J58" s="693"/>
    </row>
    <row r="59" spans="1:14" ht="15" customHeight="1">
      <c r="A59" s="430"/>
      <c r="B59" s="480"/>
      <c r="C59" s="1039" t="str">
        <f>IF(Indice_index!$Z$1=1,"Programa Apoiar Rendas","Apoiar rentals Program")</f>
        <v>Apoiar rentals Program</v>
      </c>
      <c r="D59" s="1039" t="str">
        <f>IF(Indice_index!$Z$1=1,"D.08 - Transf. Capital","D.08 - Capital transfers")</f>
        <v>D.08 - Capital transfers</v>
      </c>
      <c r="E59" s="1035">
        <v>1.627936E-2</v>
      </c>
      <c r="F59" s="1034"/>
      <c r="G59" s="1034">
        <v>0</v>
      </c>
      <c r="H59" s="1034"/>
      <c r="I59" s="1036">
        <f t="shared" si="0"/>
        <v>1.627936E-2</v>
      </c>
      <c r="J59" s="693"/>
    </row>
    <row r="60" spans="1:14" ht="15" customHeight="1">
      <c r="A60" s="430"/>
      <c r="B60" s="480"/>
      <c r="C60" s="1039" t="str">
        <f>IF(Indice_index!$Z$1=1,"Programa Apoiar.PT - apoios à economia","Apoiar.PT Program - support to economic activity")</f>
        <v>Apoiar.PT Program - support to economic activity</v>
      </c>
      <c r="D60" s="1039" t="str">
        <f>IF(Indice_index!$Z$1=1,"D.08 - Transf. Capital","D.08 - Capital transfers")</f>
        <v>D.08 - Capital transfers</v>
      </c>
      <c r="E60" s="1034">
        <v>0.47642476</v>
      </c>
      <c r="F60" s="1034"/>
      <c r="G60" s="1034">
        <v>5.5170476599999994</v>
      </c>
      <c r="H60" s="1034"/>
      <c r="I60" s="1036">
        <f t="shared" si="0"/>
        <v>5.9934724199999998</v>
      </c>
      <c r="J60" s="693"/>
    </row>
    <row r="61" spans="1:14" ht="15" customHeight="1">
      <c r="A61" s="430"/>
      <c r="B61" s="480"/>
      <c r="C61" s="480" t="str">
        <f>IF(Indice_index!$Z$1=1,"Linha Invest RAM","Invest RAM Line")</f>
        <v>Invest RAM Line</v>
      </c>
      <c r="D61" s="480" t="str">
        <f>IF(Indice_index!$Z$1=1,"D.08 - Transf. Capital","D.08 - Capital transfers")</f>
        <v>D.08 - Capital transfers</v>
      </c>
      <c r="E61" s="1046"/>
      <c r="F61" s="1046"/>
      <c r="G61" s="1046">
        <v>19.40271006</v>
      </c>
      <c r="H61" s="1046"/>
      <c r="I61" s="1047">
        <f t="shared" si="0"/>
        <v>19.40271006</v>
      </c>
      <c r="J61" s="693"/>
    </row>
    <row r="62" spans="1:14" s="430" customFormat="1" ht="15" customHeight="1">
      <c r="B62" s="480"/>
      <c r="C62" s="1039" t="str">
        <f>IF(Indice_index!$Z$1=1,"Outros apoios","Other benefits")</f>
        <v>Other benefits</v>
      </c>
      <c r="D62" s="1039" t="str">
        <f>IF(Indice_index!$Z$1=1,"D.08 - Transf. Capital","D.08 - Capital transfers")</f>
        <v>D.08 - Capital transfers</v>
      </c>
      <c r="E62" s="1035"/>
      <c r="F62" s="1034"/>
      <c r="G62" s="1034">
        <v>6.8605850100000012</v>
      </c>
      <c r="H62" s="1034">
        <v>1.3292099900000001</v>
      </c>
      <c r="I62" s="1036">
        <f t="shared" si="0"/>
        <v>8.1897950000000019</v>
      </c>
      <c r="J62" s="693"/>
      <c r="L62" s="448"/>
      <c r="M62" s="463"/>
      <c r="N62" s="463"/>
    </row>
    <row r="63" spans="1:14" ht="4.5" customHeight="1">
      <c r="A63" s="430"/>
      <c r="B63" s="430"/>
      <c r="C63" s="657"/>
      <c r="D63" s="657"/>
      <c r="E63" s="1036"/>
      <c r="F63" s="1036"/>
      <c r="G63" s="1036"/>
      <c r="H63" s="1036"/>
      <c r="I63" s="1036"/>
      <c r="J63" s="693"/>
    </row>
    <row r="64" spans="1:14" ht="15" customHeight="1">
      <c r="A64" s="430"/>
      <c r="B64" s="430"/>
      <c r="C64" s="1038" t="str">
        <f>IF(Indice_index!$Z$1=1,"Total da Despesa efetiva","Total Effective Expenditure")</f>
        <v>Total Effective Expenditure</v>
      </c>
      <c r="D64" s="1038"/>
      <c r="E64" s="1037">
        <f>SUM(E16:E62)</f>
        <v>1113.2710563400001</v>
      </c>
      <c r="F64" s="1037">
        <f>SUM(F16:F62)</f>
        <v>386.47639050999993</v>
      </c>
      <c r="G64" s="1037">
        <f>SUM(G16:G62)</f>
        <v>90.704271259999985</v>
      </c>
      <c r="H64" s="1037">
        <f>SUM(H16:H62)</f>
        <v>44.807373800000001</v>
      </c>
      <c r="I64" s="1037">
        <f t="shared" si="0"/>
        <v>1635.2590919100001</v>
      </c>
      <c r="J64" s="693"/>
    </row>
    <row r="65" spans="1:11" ht="6.6" customHeight="1">
      <c r="A65" s="430"/>
      <c r="B65" s="430"/>
      <c r="C65" s="1038"/>
      <c r="D65" s="1038"/>
      <c r="E65" s="1037"/>
      <c r="F65" s="1037"/>
      <c r="G65" s="1037"/>
      <c r="H65" s="1037"/>
      <c r="I65" s="1037"/>
      <c r="J65" s="693"/>
    </row>
    <row r="66" spans="1:11" ht="15" customHeight="1">
      <c r="A66" s="430"/>
      <c r="B66" s="430"/>
      <c r="C66" s="1038" t="str">
        <f>IF(Indice_index!$Z$1=1,"Ativos financeiros","Financial assets")</f>
        <v>Financial assets</v>
      </c>
      <c r="D66" s="1038"/>
      <c r="E66" s="1037">
        <f>E67+E68</f>
        <v>30.348601930000001</v>
      </c>
      <c r="F66" s="1037">
        <f t="shared" ref="F66:H66" si="5">F67+F68</f>
        <v>0</v>
      </c>
      <c r="G66" s="1037">
        <f t="shared" si="5"/>
        <v>0</v>
      </c>
      <c r="H66" s="1037">
        <f t="shared" si="5"/>
        <v>0</v>
      </c>
      <c r="I66" s="1037">
        <f>I67+I68</f>
        <v>30.348601930000001</v>
      </c>
      <c r="J66" s="693"/>
    </row>
    <row r="67" spans="1:11" ht="15" customHeight="1">
      <c r="A67" s="430"/>
      <c r="B67" s="480"/>
      <c r="C67" s="1039" t="str">
        <f>IF(Indice_index!$Z$1=1,"Linha de apoio tesouraria MPE","Treasury support line for SME")</f>
        <v>Treasury support line for SME</v>
      </c>
      <c r="D67" s="1039" t="str">
        <f>IF(Indice_index!$Z$1=1,"D.09 - Ativos financeiros","D.09 - Financial assets")</f>
        <v>D.09 - Financial assets</v>
      </c>
      <c r="E67" s="1034">
        <v>20.348601930000001</v>
      </c>
      <c r="F67" s="1034"/>
      <c r="G67" s="1034"/>
      <c r="H67" s="1034"/>
      <c r="I67" s="1034">
        <f>SUM(E67:H67)</f>
        <v>20.348601930000001</v>
      </c>
      <c r="J67" s="693"/>
    </row>
    <row r="68" spans="1:11" ht="15" customHeight="1">
      <c r="A68" s="430"/>
      <c r="B68" s="480"/>
      <c r="C68" s="1039" t="str">
        <f>IF(Indice_index!$Z$1=1,"Linha de apoio ao turismo","Tourism support line")</f>
        <v>Tourism support line</v>
      </c>
      <c r="D68" s="1039" t="str">
        <f>IF(Indice_index!$Z$1=1,"D.09 - Ativos financeiros","D.09 - Financial assets")</f>
        <v>D.09 - Financial assets</v>
      </c>
      <c r="E68" s="1034">
        <v>10</v>
      </c>
      <c r="F68" s="1034"/>
      <c r="G68" s="1034"/>
      <c r="H68" s="1034"/>
      <c r="I68" s="1034">
        <f t="shared" ref="I68" si="6">SUM(E68:H68)</f>
        <v>10</v>
      </c>
      <c r="J68" s="693"/>
    </row>
    <row r="69" spans="1:11" ht="15" customHeight="1">
      <c r="A69" s="430"/>
      <c r="B69" s="430"/>
      <c r="C69" s="1038" t="str">
        <f>IF(Indice_index!$Z$1=1,"Total da Despesa Orçamental","Total Expenditure")</f>
        <v>Total Expenditure</v>
      </c>
      <c r="D69" s="1038"/>
      <c r="E69" s="1037">
        <f>+E64+E66</f>
        <v>1143.6196582700002</v>
      </c>
      <c r="F69" s="1037">
        <f t="shared" ref="F69:I69" si="7">+F64+F66</f>
        <v>386.47639050999993</v>
      </c>
      <c r="G69" s="1037">
        <f t="shared" si="7"/>
        <v>90.704271259999985</v>
      </c>
      <c r="H69" s="1037">
        <f t="shared" si="7"/>
        <v>44.807373800000001</v>
      </c>
      <c r="I69" s="1037">
        <f t="shared" si="7"/>
        <v>1665.6076938400001</v>
      </c>
      <c r="J69" s="693"/>
    </row>
    <row r="70" spans="1:11" ht="6.6" customHeight="1">
      <c r="A70" s="430"/>
      <c r="B70" s="430"/>
      <c r="C70" s="657"/>
      <c r="D70" s="657"/>
      <c r="E70" s="658"/>
      <c r="F70" s="658"/>
      <c r="G70" s="658"/>
      <c r="H70" s="658"/>
      <c r="I70" s="658"/>
      <c r="J70" s="693"/>
    </row>
    <row r="71" spans="1:11" ht="15" customHeight="1">
      <c r="A71" s="430"/>
      <c r="B71" s="430"/>
      <c r="C71" s="1038" t="str">
        <f>IF(Indice_index!$Z$1=1,"Operações Extra-orçamentais","Extra-budgetary operations")</f>
        <v>Extra-budgetary operations</v>
      </c>
      <c r="D71" s="1038"/>
      <c r="E71" s="1037"/>
      <c r="F71" s="1037"/>
      <c r="G71" s="1037"/>
      <c r="H71" s="1037"/>
      <c r="I71" s="1037"/>
      <c r="J71" s="693"/>
      <c r="K71" s="474"/>
    </row>
    <row r="72" spans="1:11" ht="15" customHeight="1">
      <c r="A72" s="430"/>
      <c r="B72" s="480"/>
      <c r="C72" s="480" t="str">
        <f>IF(Indice_index!$Z$1=1,"Programa Apoiar.PT - apoios à economia","Apoiar.PT Program - support to economic activity")</f>
        <v>Apoiar.PT Program - support to economic activity</v>
      </c>
      <c r="D72" s="480" t="str">
        <f>IF(Indice_index!$Z$1=1,"D.12 - Operações extra-orçamentais","D.12 - Extra-budgetary operations")</f>
        <v>D.12 - Extra-budgetary operations</v>
      </c>
      <c r="E72" s="1046">
        <v>18.87360859</v>
      </c>
      <c r="F72" s="1036"/>
      <c r="G72" s="1036"/>
      <c r="H72" s="1036"/>
      <c r="I72" s="1036">
        <f t="shared" ref="I72:I78" si="8">SUM(E72:H72)</f>
        <v>18.87360859</v>
      </c>
      <c r="J72" s="693"/>
    </row>
    <row r="73" spans="1:11" ht="15" customHeight="1">
      <c r="A73" s="430"/>
      <c r="B73" s="480"/>
      <c r="C73" s="480" t="str">
        <f>IF(Indice_index!$Z$1=1,"Linha de apoio à economia","Economy support line")</f>
        <v>Economy support line</v>
      </c>
      <c r="D73" s="1446" t="str">
        <f>IF(Indice_index!$Z$1=1,"D.12 - Operações extra-orçamentais","D.12 - Extra-budgetary operations")</f>
        <v>D.12 - Extra-budgetary operations</v>
      </c>
      <c r="E73" s="1046">
        <v>6.7264654299999993</v>
      </c>
      <c r="F73" s="1036"/>
      <c r="G73" s="1036"/>
      <c r="H73" s="1036"/>
      <c r="I73" s="1036">
        <f t="shared" si="8"/>
        <v>6.7264654299999993</v>
      </c>
      <c r="J73" s="693"/>
    </row>
    <row r="74" spans="1:11" ht="15" customHeight="1">
      <c r="A74" s="430"/>
      <c r="B74" s="480"/>
      <c r="C74" s="480" t="str">
        <f>IF(Indice_index!$Z$1=1,"Programa Garantir Cultura","Guarantee Culture Program")</f>
        <v>Guarantee Culture Program</v>
      </c>
      <c r="D74" s="1446" t="str">
        <f>IF(Indice_index!$Z$1=1,"D.12 - Operações extra-orçamentais","D.12 - Extra-budgetary operations")</f>
        <v>D.12 - Extra-budgetary operations</v>
      </c>
      <c r="E74" s="1046">
        <v>3.3580141600000002</v>
      </c>
      <c r="F74" s="1036"/>
      <c r="G74" s="1036"/>
      <c r="H74" s="1036"/>
      <c r="I74" s="1036">
        <f>SUM(E74:H74)</f>
        <v>3.3580141600000002</v>
      </c>
      <c r="J74" s="693"/>
    </row>
    <row r="75" spans="1:11" ht="15" customHeight="1">
      <c r="A75" s="430"/>
      <c r="B75" s="480"/>
      <c r="C75" s="480" t="str">
        <f>IF(Indice_index!$Z$1=1,"Programa Apoiar Rendas","Apoiar rentals Program")</f>
        <v>Apoiar rentals Program</v>
      </c>
      <c r="D75" s="1446" t="str">
        <f>IF(Indice_index!$Z$1=1,"D.12 - Operações extra-orçamentais","D.12 - Extra-budgetary operations")</f>
        <v>D.12 - Extra-budgetary operations</v>
      </c>
      <c r="E75" s="1046">
        <v>1.4907042800000001</v>
      </c>
      <c r="F75" s="1036"/>
      <c r="G75" s="1036"/>
      <c r="H75" s="1036"/>
      <c r="I75" s="1036">
        <f>SUM(E75:H75)</f>
        <v>1.4907042800000001</v>
      </c>
      <c r="J75" s="693"/>
    </row>
    <row r="76" spans="1:11" ht="15" customHeight="1">
      <c r="A76" s="430"/>
      <c r="B76" s="480"/>
      <c r="C76" s="480" t="str">
        <f>IF(Indice_index!$Z$1=1,"Programa Apoiar + Simples","Apoiar + Simplex")</f>
        <v>Apoiar + Simplex</v>
      </c>
      <c r="D76" s="1446" t="str">
        <f>IF(Indice_index!$Z$1=1,"D.12 - Operações extra-orçamentais","D.12 - Extra-budgetary operations")</f>
        <v>D.12 - Extra-budgetary operations</v>
      </c>
      <c r="E76" s="1046">
        <v>0.74251876000000006</v>
      </c>
      <c r="F76" s="1036"/>
      <c r="G76" s="1036"/>
      <c r="H76" s="1036"/>
      <c r="I76" s="1036">
        <f t="shared" si="8"/>
        <v>0.74251876000000006</v>
      </c>
      <c r="J76" s="693"/>
    </row>
    <row r="77" spans="1:11" ht="15" customHeight="1">
      <c r="A77" s="430"/>
      <c r="B77" s="480"/>
      <c r="C77" s="1039" t="str">
        <f>IF(Indice_index!$Z$1=1,"Programa Adaptar","Adaptar Program")</f>
        <v>Adaptar Program</v>
      </c>
      <c r="D77" s="1042" t="str">
        <f>IF(Indice_index!$Z$1=1,"D.12 - Operações extra-orçamentais","D.12 - Extra-budgetary operations")</f>
        <v>D.12 - Extra-budgetary operations</v>
      </c>
      <c r="E77" s="1034">
        <v>1.1601225299999998</v>
      </c>
      <c r="F77" s="1036"/>
      <c r="G77" s="1036"/>
      <c r="H77" s="1036"/>
      <c r="I77" s="1036">
        <f t="shared" si="8"/>
        <v>1.1601225299999998</v>
      </c>
      <c r="J77" s="693"/>
    </row>
    <row r="78" spans="1:11" ht="15" customHeight="1">
      <c r="A78" s="430"/>
      <c r="B78" s="480"/>
      <c r="C78" s="1039" t="str">
        <f>IF(Indice_index!$Z$1=1,"Outros apoios","Other benefits")</f>
        <v>Other benefits</v>
      </c>
      <c r="D78" s="1042" t="str">
        <f>IF(Indice_index!$Z$1=1,"D.12 - Operações extra-orçamentais","D.12 - Extra-budgetary operations")</f>
        <v>D.12 - Extra-budgetary operations</v>
      </c>
      <c r="E78" s="1034">
        <v>0</v>
      </c>
      <c r="F78" s="1036"/>
      <c r="G78" s="1036"/>
      <c r="H78" s="1036"/>
      <c r="I78" s="1036">
        <f t="shared" si="8"/>
        <v>0</v>
      </c>
      <c r="J78" s="693"/>
    </row>
    <row r="79" spans="1:11" ht="15" customHeight="1">
      <c r="A79" s="430"/>
      <c r="B79" s="430"/>
      <c r="C79" s="1038" t="str">
        <f>IF(Indice_index!$Z$1=1,"Total da Despesa Extra-orçamental","Total Extra-budgetary Expenditure")</f>
        <v>Total Extra-budgetary Expenditure</v>
      </c>
      <c r="D79" s="1038"/>
      <c r="E79" s="1037">
        <f>SUM(E72:E78)</f>
        <v>32.351433749999998</v>
      </c>
      <c r="F79" s="1037">
        <f>SUM(F72:F78)</f>
        <v>0</v>
      </c>
      <c r="G79" s="1037">
        <f>SUM(G72:G78)</f>
        <v>0</v>
      </c>
      <c r="H79" s="1037">
        <f>SUM(H72:H78)</f>
        <v>0</v>
      </c>
      <c r="I79" s="1037">
        <f>SUM(I72:I78)</f>
        <v>32.351433749999998</v>
      </c>
      <c r="J79" s="693"/>
    </row>
    <row r="80" spans="1:11" ht="4.5" customHeight="1">
      <c r="A80" s="430"/>
      <c r="B80" s="430"/>
      <c r="C80" s="1043"/>
      <c r="D80" s="1043"/>
      <c r="E80" s="659"/>
      <c r="F80" s="659"/>
      <c r="G80" s="659"/>
      <c r="H80" s="659"/>
      <c r="I80" s="659"/>
      <c r="J80" s="693"/>
    </row>
    <row r="81" spans="1:23" ht="15" customHeight="1">
      <c r="A81" s="430"/>
      <c r="B81" s="430"/>
      <c r="C81" s="1044" t="str">
        <f>IF(Indice_index!$Z$1=1,"Montante Global de despesa ","Global expenditure amount")</f>
        <v>Global expenditure amount</v>
      </c>
      <c r="D81" s="1038"/>
      <c r="E81" s="1037">
        <f>+E79+E69</f>
        <v>1175.9710920200002</v>
      </c>
      <c r="F81" s="1037">
        <f t="shared" ref="F81:I81" si="9">+F79+F69</f>
        <v>386.47639050999993</v>
      </c>
      <c r="G81" s="1037">
        <f t="shared" si="9"/>
        <v>90.704271259999985</v>
      </c>
      <c r="H81" s="1037">
        <f t="shared" si="9"/>
        <v>44.807373800000001</v>
      </c>
      <c r="I81" s="1037">
        <f t="shared" si="9"/>
        <v>1697.9591275900002</v>
      </c>
      <c r="J81" s="693"/>
    </row>
    <row r="82" spans="1:23" ht="4.5" customHeight="1">
      <c r="A82" s="430"/>
      <c r="B82" s="430"/>
      <c r="C82" s="1441"/>
      <c r="D82" s="1441"/>
      <c r="E82" s="1458"/>
      <c r="F82" s="1458"/>
      <c r="G82" s="1463"/>
      <c r="H82" s="1463"/>
      <c r="I82" s="1463"/>
      <c r="J82" s="693"/>
    </row>
    <row r="83" spans="1:23" ht="15" customHeight="1">
      <c r="A83" s="430"/>
      <c r="B83" s="430"/>
      <c r="C83" s="1448" t="str">
        <f>IF(Indice_index!$Z$1=1,"Notas:","Notes:")</f>
        <v>Notes:</v>
      </c>
      <c r="D83" s="1449"/>
      <c r="E83" s="1450"/>
      <c r="F83" s="1451"/>
      <c r="G83" s="1451"/>
      <c r="H83" s="1451"/>
      <c r="I83" s="1451"/>
      <c r="J83" s="693"/>
    </row>
    <row r="84" spans="1:23" ht="47.25" customHeight="1">
      <c r="C84" s="1668"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normalidade'"&amp;C177,C178)</f>
        <v>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v>
      </c>
      <c r="D84" s="1668"/>
      <c r="E84" s="1668"/>
      <c r="F84" s="1668"/>
      <c r="G84" s="1668"/>
      <c r="H84" s="1668"/>
      <c r="I84" s="1668"/>
    </row>
    <row r="85" spans="1:23" ht="15" customHeight="1">
      <c r="C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D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E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F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G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H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c r="I85" s="1669"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The amounts presented in column (for each of the General Government' sub-sectors exclude the consolidation amounts within the scope of General Government.</v>
      </c>
    </row>
    <row r="86" spans="1:23" ht="25.35" customHeight="1">
      <c r="C86" s="1668"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The Social Security information comprises the execution associated with the Solidarity, Family Protection, Social Security and Social Action subsystems, as well as other expenditure incurred by the institutions belonging to this sector.</v>
      </c>
      <c r="D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6"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7" spans="1:23" ht="20.25" customHeight="1">
      <c r="C87" s="1668" t="str">
        <f>IF(Indice_index!$Z$1=1,"Parte do impacto da medida Programa Ativar Formação em meses anteriores foi considerado na medida EPI, adpatação dos locais de trabalho, produtos e serviços de limpeza e outros. ","Mesures from 'ATIVAR.PT Program - Training' were previously considered ain the EPI measure, adaptation of workplaces, cleaning products and services. ")</f>
        <v xml:space="preserve">Mesures from 'ATIVAR.PT Program - Training' were previously considered ain the EPI measure, adaptation of workplaces, cleaning products and services. </v>
      </c>
      <c r="D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E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F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G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H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c r="I87" s="1668"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The value of the budgetary impact of the measure 'Exemption from payment of the social security contributions' consists of an estimate calculated by the Social Security Financial Management Institute, I.P ..</v>
      </c>
    </row>
    <row r="88" spans="1:23" ht="15" customHeight="1">
      <c r="C88" s="1669" t="str">
        <f>IF(Indice_index!$Z$1=1,"Os dados da Administração Regional e Local são provisórios.","Data from regional and local governments are provisional.")</f>
        <v>Data from regional and local governments are provisional.</v>
      </c>
      <c r="D88" s="1669" t="str">
        <f>IF(Indice_index!$Z$1=1,"Os dados da Administração Regional e Local são provisórios.","Data from regional and local governments are provisional.")</f>
        <v>Data from regional and local governments are provisional.</v>
      </c>
      <c r="E88" s="1669" t="str">
        <f>IF(Indice_index!$Z$1=1,"Os dados da Administração Regional e Local são provisórios.","Data from regional and local governments are provisional.")</f>
        <v>Data from regional and local governments are provisional.</v>
      </c>
      <c r="F88" s="1669" t="str">
        <f>IF(Indice_index!$Z$1=1,"Os dados da Administração Regional e Local são provisórios.","Data from regional and local governments are provisional.")</f>
        <v>Data from regional and local governments are provisional.</v>
      </c>
      <c r="G88" s="1669" t="str">
        <f>IF(Indice_index!$Z$1=1,"Os dados da Administração Regional e Local são provisórios.","Data from regional and local governments are provisional.")</f>
        <v>Data from regional and local governments are provisional.</v>
      </c>
      <c r="H88" s="1669" t="str">
        <f>IF(Indice_index!$Z$1=1,"Os dados da Administração Regional e Local são provisórios.","Data from regional and local governments are provisional.")</f>
        <v>Data from regional and local governments are provisional.</v>
      </c>
      <c r="I88" s="1669" t="str">
        <f>IF(Indice_index!$Z$1=1,"Os dados da Administração Regional e Local são provisórios.","Data from regional and local governments are provisional.")</f>
        <v>Data from regional and local governments are provisional.</v>
      </c>
    </row>
    <row r="89" spans="1:23" ht="12.75" customHeight="1">
      <c r="C89" s="1452" t="str">
        <f>IF(Indice_index!$Z$1=1,"O subsector da Administração Local inclui municípios e freguesias.","The local government sub-sector includes municipalities and parishes.")</f>
        <v>The local government sub-sector includes municipalities and parishes.</v>
      </c>
      <c r="D89" s="1453"/>
      <c r="E89" s="1454"/>
      <c r="F89" s="1454"/>
      <c r="G89" s="1454"/>
      <c r="H89" s="1454"/>
      <c r="I89" s="1454"/>
    </row>
    <row r="90" spans="1:23" s="430" customFormat="1" ht="4.5" customHeight="1">
      <c r="C90" s="1455"/>
      <c r="D90" s="1455"/>
      <c r="E90" s="1456"/>
      <c r="F90" s="1456"/>
      <c r="G90" s="1456"/>
      <c r="H90" s="1456"/>
      <c r="I90" s="1456"/>
      <c r="J90" s="693"/>
      <c r="M90" s="463"/>
      <c r="N90" s="463"/>
      <c r="P90" s="446"/>
      <c r="Q90" s="446"/>
      <c r="R90" s="446"/>
      <c r="S90" s="446"/>
      <c r="T90" s="446"/>
      <c r="U90" s="446"/>
      <c r="V90" s="446"/>
      <c r="W90" s="446"/>
    </row>
    <row r="91" spans="1:23" s="430" customFormat="1" ht="15" customHeight="1">
      <c r="C91" s="1457" t="str">
        <f>IF(Indice_index!$Z$1=1,"Fonte:","Source:")</f>
        <v>Source:</v>
      </c>
      <c r="D91" s="1455"/>
      <c r="E91" s="1456"/>
      <c r="F91" s="1456"/>
      <c r="G91" s="1456"/>
      <c r="H91" s="1456"/>
      <c r="I91" s="1456"/>
      <c r="J91" s="693"/>
      <c r="M91" s="463"/>
      <c r="N91" s="463"/>
      <c r="Q91" s="446"/>
      <c r="S91" s="446"/>
      <c r="U91" s="446"/>
    </row>
    <row r="92" spans="1:23" ht="12.75" customHeight="1">
      <c r="C92" s="1668" t="s">
        <v>69</v>
      </c>
      <c r="D92" s="1668"/>
      <c r="E92" s="1668"/>
      <c r="F92" s="1668"/>
      <c r="G92" s="1668"/>
      <c r="H92" s="1668"/>
      <c r="I92" s="1668"/>
    </row>
    <row r="93" spans="1:23" ht="22.5" customHeight="1">
      <c r="C93" s="1668"/>
      <c r="D93" s="1668"/>
      <c r="E93" s="1668"/>
      <c r="F93" s="1668"/>
      <c r="G93" s="1668"/>
      <c r="H93" s="1668"/>
      <c r="I93" s="1668"/>
    </row>
    <row r="98" spans="3:9">
      <c r="C98" s="1670"/>
      <c r="D98" s="1670"/>
      <c r="E98" s="1670"/>
      <c r="F98" s="1670"/>
      <c r="G98" s="1670"/>
      <c r="H98" s="1670"/>
      <c r="I98" s="1670"/>
    </row>
    <row r="111" spans="3:9">
      <c r="C111" s="1667"/>
      <c r="D111" s="1667"/>
      <c r="E111" s="1667"/>
      <c r="F111" s="1667"/>
      <c r="G111" s="1667"/>
      <c r="H111" s="1667"/>
      <c r="I111" s="1667"/>
    </row>
    <row r="112" spans="3:9">
      <c r="C112" s="592"/>
    </row>
    <row r="177" spans="3:3">
      <c r="C177" s="601" t="s">
        <v>70</v>
      </c>
    </row>
    <row r="178" spans="3:3">
      <c r="C178" s="601" t="s">
        <v>71</v>
      </c>
    </row>
  </sheetData>
  <mergeCells count="10">
    <mergeCell ref="C2:I2"/>
    <mergeCell ref="C111:I111"/>
    <mergeCell ref="C92:I93"/>
    <mergeCell ref="C88:I88"/>
    <mergeCell ref="C85:I85"/>
    <mergeCell ref="C84:I84"/>
    <mergeCell ref="C86:I86"/>
    <mergeCell ref="C98:I98"/>
    <mergeCell ref="C4:I4"/>
    <mergeCell ref="C87:I87"/>
  </mergeCells>
  <printOptions horizontalCentered="1"/>
  <pageMargins left="0.70866141732283472" right="0.70866141732283472" top="0.74803149606299213" bottom="0.74803149606299213" header="0.74803149606299213" footer="0.35433070866141736"/>
  <pageSetup paperSize="9" scale="51"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R97"/>
  <sheetViews>
    <sheetView showGridLines="0" zoomScaleNormal="100" zoomScaleSheetLayoutView="100" workbookViewId="0">
      <selection activeCell="B2" sqref="B2"/>
    </sheetView>
  </sheetViews>
  <sheetFormatPr defaultColWidth="9.140625" defaultRowHeight="11.25"/>
  <cols>
    <col min="1" max="1" width="1.140625" style="22" customWidth="1"/>
    <col min="2" max="2" width="4.42578125" style="22" customWidth="1"/>
    <col min="3" max="3" width="36.42578125" style="22" customWidth="1"/>
    <col min="4" max="8" width="9.42578125" style="22" customWidth="1"/>
    <col min="9" max="9" width="8.5703125" style="22" customWidth="1"/>
    <col min="10" max="10" width="8.5703125" style="23" customWidth="1"/>
    <col min="11" max="14" width="8.5703125" style="22" customWidth="1"/>
    <col min="15" max="15" width="7.5703125" style="22" customWidth="1"/>
    <col min="16" max="16" width="12" style="22" bestFit="1" customWidth="1"/>
    <col min="17" max="17" width="7.5703125" style="24" customWidth="1"/>
    <col min="18" max="18" width="9.140625" style="24"/>
    <col min="19" max="16384" width="9.140625" style="22"/>
  </cols>
  <sheetData>
    <row r="1" spans="2:18" ht="15" customHeight="1"/>
    <row r="2" spans="2:18" ht="24" customHeight="1">
      <c r="B2" s="8"/>
      <c r="C2" s="21" t="str">
        <f>IF(Indice_index!$Z$1=1,"5 - Conta Consolidada da Administração Central e Segurança Social","5 - Central Government and Social Security Consolidated Account")</f>
        <v>5 - Central Government and Social Security Consolidated Account</v>
      </c>
      <c r="D2" s="21"/>
      <c r="E2" s="21"/>
      <c r="F2" s="21"/>
      <c r="G2" s="21"/>
      <c r="H2" s="21"/>
    </row>
    <row r="3" spans="2:18" ht="15" customHeight="1"/>
    <row r="4" spans="2:18" ht="15" customHeight="1">
      <c r="C4" s="25"/>
      <c r="D4" s="25"/>
      <c r="E4" s="25"/>
      <c r="F4" s="25"/>
      <c r="G4" s="25"/>
      <c r="H4" s="25"/>
    </row>
    <row r="5" spans="2:18" s="260" customFormat="1" ht="15" customHeight="1">
      <c r="C5" s="871" t="str">
        <f>IF(Indice_index!$Z$1=1,"Período: janeiro a maio","Period: January to May")</f>
        <v>Period: January to May</v>
      </c>
      <c r="D5" s="871"/>
      <c r="E5" s="1003"/>
      <c r="G5" s="1003"/>
      <c r="H5" s="1004" t="str">
        <f>IF(Indice_index!$Z$1=1,"€ Milhões","€ Millions")</f>
        <v>€ Millions</v>
      </c>
      <c r="J5" s="261"/>
      <c r="Q5" s="262"/>
      <c r="R5" s="262"/>
    </row>
    <row r="6" spans="2:18" ht="35.25" customHeight="1">
      <c r="C6" s="1005"/>
      <c r="D6" s="811" t="str">
        <f>IF(Indice_index!$Z$1=1,"CGE","Final execution")</f>
        <v>Final execution</v>
      </c>
      <c r="E6" s="1671" t="str">
        <f>IF(Indice_index!$Z$1=1,"Execução Acumulada","Accumulated Execution")</f>
        <v>Accumulated Execution</v>
      </c>
      <c r="F6" s="1671"/>
      <c r="G6" s="1672" t="str">
        <f>IF(Indice_index!$Z$1=1,"Variação Homóloga Acumulada","YOY Change Rate")</f>
        <v>YOY Change Rate</v>
      </c>
      <c r="H6" s="1673"/>
    </row>
    <row r="7" spans="2:18" ht="22.5">
      <c r="C7" s="1006"/>
      <c r="D7" s="813" t="s">
        <v>68</v>
      </c>
      <c r="E7" s="814" t="s">
        <v>68</v>
      </c>
      <c r="F7" s="814" t="s">
        <v>75</v>
      </c>
      <c r="G7" s="814" t="str">
        <f>IF(Indice_index!$Z$1=1,"Relativa (%)","Relative change (%)")</f>
        <v>Relative change (%)</v>
      </c>
      <c r="H7" s="816" t="str">
        <f>IF(Indice_index!$Z$1=1,"Contributo VHA (p.p.)","YOY Change Rate Contrib. (p.p.)")</f>
        <v>YOY Change Rate Contrib. (p.p.)</v>
      </c>
    </row>
    <row r="8" spans="2:18" ht="5.25" customHeight="1">
      <c r="C8" s="1007"/>
      <c r="D8" s="1007"/>
      <c r="E8" s="1008"/>
      <c r="F8" s="1008"/>
      <c r="G8" s="1008"/>
      <c r="H8" s="1008"/>
    </row>
    <row r="9" spans="2:18" s="260" customFormat="1" ht="15" customHeight="1">
      <c r="C9" s="1009" t="str">
        <f>IF(Indice_index!$Z$1=1,"Receita corrente","Current revenue")</f>
        <v>Current revenue</v>
      </c>
      <c r="D9" s="1009">
        <f t="shared" ref="D9" si="0">SUM(D11:D14)+D17+D18</f>
        <v>82956.108804729985</v>
      </c>
      <c r="E9" s="1009">
        <f t="shared" ref="E9:F9" si="1">SUM(E11:E14)+E17+E18</f>
        <v>28542.541425659998</v>
      </c>
      <c r="F9" s="1009">
        <f t="shared" si="1"/>
        <v>32974.386656930001</v>
      </c>
      <c r="G9" s="1010">
        <f>IF(IFERROR((F9-E9)/E9*100,"")&gt;500,"-",IFERROR((F9-E9)/E9*100,""))</f>
        <v>15.527157043155713</v>
      </c>
      <c r="H9" s="1011">
        <f>IFERROR((F9-E9)/$E$27*100,"")</f>
        <v>15.226673586653547</v>
      </c>
      <c r="I9" s="262"/>
      <c r="J9" s="263"/>
      <c r="K9" s="264"/>
      <c r="L9" s="264"/>
      <c r="M9" s="264"/>
      <c r="N9" s="264"/>
      <c r="O9" s="264"/>
      <c r="P9" s="264"/>
      <c r="Q9" s="264"/>
      <c r="R9" s="262"/>
    </row>
    <row r="10" spans="2:18" ht="15" customHeight="1">
      <c r="C10" s="1012" t="str">
        <f>IF(Indice_index!$Z$1=1,"Receita fiscal","Tax")</f>
        <v>Tax</v>
      </c>
      <c r="D10" s="1013">
        <f t="shared" ref="D10" si="2">+D11+D12</f>
        <v>46371.175763009996</v>
      </c>
      <c r="E10" s="1013">
        <f t="shared" ref="E10:F10" si="3">+E11+E12</f>
        <v>14833.466065949999</v>
      </c>
      <c r="F10" s="1013">
        <f t="shared" si="3"/>
        <v>17915.519849320001</v>
      </c>
      <c r="G10" s="1014">
        <f>IF(IFERROR((F10-E10)/E10*100,"")&gt;500,"-",IFERROR((F10-E10)/E10*100,""))</f>
        <v>20.777704749969466</v>
      </c>
      <c r="H10" s="1015">
        <f t="shared" ref="H10:H17" si="4">IFERROR((F10-E10)/$E$27*100,"")</f>
        <v>10.589139396105988</v>
      </c>
      <c r="I10" s="24"/>
      <c r="J10" s="26"/>
      <c r="K10" s="26"/>
      <c r="L10" s="27"/>
      <c r="M10" s="27"/>
      <c r="N10" s="27"/>
      <c r="O10" s="27"/>
      <c r="P10" s="27"/>
      <c r="Q10" s="27"/>
    </row>
    <row r="11" spans="2:18" ht="15" customHeight="1">
      <c r="C11" s="695" t="str">
        <f>IF(Indice_index!$Z$1=1,"Impostos diretos ","Direct taxes")</f>
        <v>Direct taxes</v>
      </c>
      <c r="D11" s="1013">
        <v>19956.944554760001</v>
      </c>
      <c r="E11" s="1013">
        <v>4770.5620355699994</v>
      </c>
      <c r="F11" s="1013">
        <v>5722.7247265600008</v>
      </c>
      <c r="G11" s="1014">
        <f>IF(IFERROR((F11-E11)/E11*100,"")&gt;500,"-",IFERROR((F11-E11)/E11*100,""))</f>
        <v>19.959130263699308</v>
      </c>
      <c r="H11" s="1015">
        <f t="shared" si="4"/>
        <v>3.2713846582002035</v>
      </c>
      <c r="I11" s="24"/>
      <c r="J11" s="26"/>
      <c r="K11" s="26"/>
      <c r="L11" s="27"/>
      <c r="M11" s="27"/>
      <c r="N11" s="27"/>
      <c r="O11" s="27"/>
      <c r="P11" s="27"/>
      <c r="Q11" s="27"/>
    </row>
    <row r="12" spans="2:18" ht="15" customHeight="1">
      <c r="C12" s="695" t="str">
        <f>IF(Indice_index!$Z$1=1,"Impostos indiretos","Indirect taxes")</f>
        <v>Indirect taxes</v>
      </c>
      <c r="D12" s="1013">
        <v>26414.231208249996</v>
      </c>
      <c r="E12" s="1013">
        <v>10062.904030379999</v>
      </c>
      <c r="F12" s="1013">
        <v>12192.795122760001</v>
      </c>
      <c r="G12" s="1014">
        <f t="shared" ref="G12:G23" si="5">IF(IFERROR((F12-E12)/E12*100,"")&gt;500,"-",IFERROR((F12-E12)/E12*100,""))</f>
        <v>21.165769701766415</v>
      </c>
      <c r="H12" s="1015">
        <f t="shared" si="4"/>
        <v>7.3177547379057879</v>
      </c>
      <c r="I12" s="24"/>
      <c r="J12" s="26"/>
      <c r="K12" s="26"/>
      <c r="L12" s="27"/>
      <c r="M12" s="27"/>
      <c r="N12" s="27"/>
      <c r="O12" s="27"/>
      <c r="P12" s="27"/>
      <c r="Q12" s="27"/>
    </row>
    <row r="13" spans="2:18" ht="15" customHeight="1">
      <c r="C13" s="696" t="str">
        <f>IF(Indice_index!$Z$1=1,"Contribuições para Segurança Social, CGA e ADSE","Social security, CGA and ADSE contributions")</f>
        <v>Social security, CGA and ADSE contributions</v>
      </c>
      <c r="D13" s="1013">
        <v>24205.521009029995</v>
      </c>
      <c r="E13" s="1013">
        <v>9043.5465824800012</v>
      </c>
      <c r="F13" s="1013">
        <v>9961.4594150099983</v>
      </c>
      <c r="G13" s="1014">
        <f>IF(IFERROR((F13-E13)/E13*100,"")&gt;500,"-",IFERROR((F13-E13)/E13*100,""))</f>
        <v>10.149920986842298</v>
      </c>
      <c r="H13" s="1015">
        <f t="shared" si="4"/>
        <v>3.1537110058172377</v>
      </c>
      <c r="I13" s="24"/>
      <c r="J13" s="26"/>
      <c r="K13" s="26"/>
      <c r="L13" s="27"/>
      <c r="M13" s="27"/>
      <c r="N13" s="27"/>
      <c r="O13" s="27"/>
      <c r="P13" s="27"/>
      <c r="Q13" s="27"/>
    </row>
    <row r="14" spans="2:18" ht="15" customHeight="1">
      <c r="C14" s="696" t="str">
        <f>IF(Indice_index!$Z$1=1,"Transferências Correntes","Current transfers")</f>
        <v>Current transfers</v>
      </c>
      <c r="D14" s="1013">
        <f>+D15+D16</f>
        <v>3030.6102374100001</v>
      </c>
      <c r="E14" s="1013">
        <f>+E15+E16</f>
        <v>1233.9319627900004</v>
      </c>
      <c r="F14" s="1013">
        <f>+F15+F16</f>
        <v>1051.1258270500002</v>
      </c>
      <c r="G14" s="1014">
        <f>IF(IFERROR((F14-E14)/E14*100,"")&gt;500,"-",IFERROR((F14-E14)/E14*100,""))</f>
        <v>-14.814928314739786</v>
      </c>
      <c r="H14" s="1015">
        <f t="shared" si="4"/>
        <v>-0.62807458593331944</v>
      </c>
      <c r="I14" s="24"/>
      <c r="J14" s="26"/>
      <c r="K14" s="27"/>
      <c r="L14" s="27"/>
      <c r="M14" s="27"/>
      <c r="N14" s="27"/>
      <c r="O14" s="27"/>
      <c r="P14" s="27"/>
      <c r="Q14" s="27"/>
    </row>
    <row r="15" spans="2:18" ht="15" customHeight="1">
      <c r="C15" s="1016" t="str">
        <f>IF(Indice_index!$Z$1=1,"Administrações Públicas","General Government subsectors")</f>
        <v>General Government subsectors</v>
      </c>
      <c r="D15" s="1013">
        <v>189.88059364999935</v>
      </c>
      <c r="E15" s="1013">
        <v>65.28561106000052</v>
      </c>
      <c r="F15" s="1013">
        <v>76.744448600000396</v>
      </c>
      <c r="G15" s="1014">
        <f>IF(IFERROR((F15-E15)/E15*100,"")&gt;500,"-",IFERROR((F15-E15)/E15*100,""))</f>
        <v>17.551857681884407</v>
      </c>
      <c r="H15" s="1015">
        <f t="shared" si="4"/>
        <v>3.9369601102715118E-2</v>
      </c>
      <c r="I15" s="24"/>
      <c r="J15" s="26"/>
      <c r="K15" s="27"/>
      <c r="L15" s="27"/>
      <c r="M15" s="27"/>
      <c r="N15" s="27"/>
      <c r="O15" s="27"/>
      <c r="P15" s="27"/>
      <c r="Q15" s="27"/>
    </row>
    <row r="16" spans="2:18" ht="15" customHeight="1">
      <c r="C16" s="1016" t="str">
        <f>IF(Indice_index!$Z$1=1,"Outras","Others")</f>
        <v>Others</v>
      </c>
      <c r="D16" s="1013">
        <v>2840.7296437600007</v>
      </c>
      <c r="E16" s="1013">
        <v>1168.6463517299999</v>
      </c>
      <c r="F16" s="1013">
        <v>974.38137844999983</v>
      </c>
      <c r="G16" s="1014">
        <f>IF(IFERROR((F16-E16)/E16*100,"")&gt;500,"-",IFERROR((F16-E16)/E16*100,""))</f>
        <v>-16.623076176331775</v>
      </c>
      <c r="H16" s="1015">
        <f t="shared" si="4"/>
        <v>-0.66744418703603459</v>
      </c>
      <c r="I16" s="24"/>
      <c r="J16" s="26"/>
      <c r="K16" s="27"/>
      <c r="L16" s="27"/>
      <c r="M16" s="27"/>
      <c r="N16" s="27"/>
      <c r="O16" s="27"/>
      <c r="P16" s="27"/>
      <c r="Q16" s="27"/>
    </row>
    <row r="17" spans="3:18" ht="15" customHeight="1">
      <c r="C17" s="696" t="str">
        <f>IF(Indice_index!$Z$1=1,"Outras receitas correntes","Other current revenue")</f>
        <v>Other current revenue</v>
      </c>
      <c r="D17" s="1013">
        <v>9308.8380039000003</v>
      </c>
      <c r="E17" s="1013">
        <v>3332.5653680199998</v>
      </c>
      <c r="F17" s="1013">
        <v>3941.0463034600025</v>
      </c>
      <c r="G17" s="1014">
        <f t="shared" si="5"/>
        <v>18.258634662626999</v>
      </c>
      <c r="H17" s="1015">
        <f t="shared" si="4"/>
        <v>2.0905830651020918</v>
      </c>
      <c r="I17" s="24"/>
      <c r="J17" s="26"/>
      <c r="K17" s="27"/>
      <c r="L17" s="27"/>
      <c r="M17" s="27"/>
      <c r="N17" s="27"/>
      <c r="O17" s="27"/>
      <c r="P17" s="27"/>
      <c r="Q17" s="27"/>
    </row>
    <row r="18" spans="3:18" ht="15" customHeight="1">
      <c r="C18" s="696" t="str">
        <f>IF(Indice_index!$Z$1=1,"Diferenças de consolidação","Consolidation differences")</f>
        <v>Consolidation differences</v>
      </c>
      <c r="D18" s="1013">
        <v>39.963791379997609</v>
      </c>
      <c r="E18" s="1013">
        <v>99.031446419999043</v>
      </c>
      <c r="F18" s="1013">
        <v>105.2352620899986</v>
      </c>
      <c r="G18" s="1015"/>
      <c r="H18" s="1015"/>
      <c r="I18" s="24"/>
      <c r="J18" s="26"/>
      <c r="K18" s="27"/>
      <c r="L18" s="27"/>
      <c r="M18" s="27"/>
      <c r="N18" s="27"/>
      <c r="O18" s="27"/>
      <c r="P18" s="27"/>
      <c r="Q18" s="27"/>
    </row>
    <row r="19" spans="3:18" s="265" customFormat="1" ht="15" customHeight="1">
      <c r="C19" s="1009" t="str">
        <f>IF(Indice_index!$Z$1=1,"Receita de capital","Capital revenue")</f>
        <v>Capital revenue</v>
      </c>
      <c r="D19" s="1009">
        <f t="shared" ref="D19" si="6">+D20+D21+D24+D25</f>
        <v>1215.0691603200003</v>
      </c>
      <c r="E19" s="1009">
        <f t="shared" ref="E19:F19" si="7">+E20+E21+E24+E25</f>
        <v>563.25903725000001</v>
      </c>
      <c r="F19" s="1009">
        <f t="shared" si="7"/>
        <v>838.75256365999996</v>
      </c>
      <c r="G19" s="1010">
        <f>IF(IFERROR((F19-E19)/E19*100,"")&gt;500,"-",IFERROR((F19-E19)/E19*100,""))</f>
        <v>48.910626939079791</v>
      </c>
      <c r="H19" s="1011">
        <f t="shared" ref="H19:H24" si="8">IFERROR((F19-E19)/$E$27*100,"")</f>
        <v>0.9465244797547</v>
      </c>
      <c r="I19" s="262"/>
      <c r="J19" s="263"/>
      <c r="K19" s="264"/>
      <c r="L19" s="264"/>
      <c r="M19" s="264"/>
      <c r="N19" s="264"/>
      <c r="O19" s="264"/>
      <c r="P19" s="264"/>
      <c r="Q19" s="264"/>
      <c r="R19" s="262"/>
    </row>
    <row r="20" spans="3:18" ht="15" customHeight="1">
      <c r="C20" s="696" t="str">
        <f>IF(Indice_index!$Z$1=1,"Venda de bens de investimento","Sale of investment goods")</f>
        <v>Sale of investment goods</v>
      </c>
      <c r="D20" s="1013">
        <v>155.06244905999998</v>
      </c>
      <c r="E20" s="1013">
        <v>65.291281350000006</v>
      </c>
      <c r="F20" s="1013">
        <v>62.165394620000008</v>
      </c>
      <c r="G20" s="1014">
        <f>IF(IFERROR((F20-E20)/E20*100,"")&gt;500,"-",IFERROR((F20-E20)/E20*100,""))</f>
        <v>-4.787602058601653</v>
      </c>
      <c r="H20" s="1015">
        <f t="shared" si="8"/>
        <v>-1.0739738060059083E-2</v>
      </c>
      <c r="I20" s="24"/>
      <c r="J20" s="26"/>
      <c r="K20" s="26"/>
      <c r="L20" s="27"/>
      <c r="M20" s="27"/>
      <c r="N20" s="27"/>
      <c r="O20" s="27"/>
      <c r="P20" s="27"/>
      <c r="Q20" s="27"/>
    </row>
    <row r="21" spans="3:18" ht="15" customHeight="1">
      <c r="C21" s="696" t="str">
        <f>IF(Indice_index!$Z$1=1,"Transferências de Capital","Capital transfers")</f>
        <v>Capital transfers</v>
      </c>
      <c r="D21" s="1013">
        <f t="shared" ref="D21" si="9">+D22+D23</f>
        <v>1018.6108192299999</v>
      </c>
      <c r="E21" s="1013">
        <f t="shared" ref="E21:F21" si="10">+E22+E23</f>
        <v>492.32105532000003</v>
      </c>
      <c r="F21" s="1013">
        <f t="shared" si="10"/>
        <v>760.27832216999991</v>
      </c>
      <c r="G21" s="1014">
        <f>IF(IFERROR((F21-E21)/E21*100,"")&gt;500,"-",IFERROR((F21-E21)/E21*100,""))</f>
        <v>54.427342473872542</v>
      </c>
      <c r="H21" s="1015">
        <f t="shared" si="8"/>
        <v>0.92063184172330947</v>
      </c>
      <c r="I21" s="24"/>
      <c r="J21" s="26"/>
      <c r="K21" s="27"/>
      <c r="L21" s="27"/>
      <c r="M21" s="27"/>
      <c r="N21" s="27"/>
      <c r="O21" s="27"/>
      <c r="P21" s="27"/>
      <c r="Q21" s="27"/>
    </row>
    <row r="22" spans="3:18" ht="15" customHeight="1">
      <c r="C22" s="1016" t="str">
        <f>IF(Indice_index!$Z$1=1,"Administrações Públicas","General Government subsectors")</f>
        <v>General Government subsectors</v>
      </c>
      <c r="D22" s="1013">
        <v>8.1522407000000001</v>
      </c>
      <c r="E22" s="1013">
        <v>3.7377730099999997</v>
      </c>
      <c r="F22" s="1013">
        <v>5.1483486299999992</v>
      </c>
      <c r="G22" s="1014">
        <f>IF(IFERROR((F22-E22)/E22*100,"")&gt;500,"-",IFERROR((F22-E22)/E22*100,""))</f>
        <v>37.738397067616461</v>
      </c>
      <c r="H22" s="1015">
        <f t="shared" si="8"/>
        <v>4.8463728795142373E-3</v>
      </c>
      <c r="I22" s="24"/>
      <c r="J22" s="26"/>
      <c r="K22" s="27"/>
      <c r="L22" s="27"/>
      <c r="M22" s="27"/>
      <c r="N22" s="27"/>
      <c r="O22" s="27"/>
      <c r="P22" s="27"/>
      <c r="Q22" s="27"/>
    </row>
    <row r="23" spans="3:18" ht="15" customHeight="1">
      <c r="C23" s="1016" t="str">
        <f>IF(Indice_index!$Z$1=1,"Outras","Others")</f>
        <v>Others</v>
      </c>
      <c r="D23" s="1013">
        <v>1010.45857853</v>
      </c>
      <c r="E23" s="1013">
        <v>488.58328231000002</v>
      </c>
      <c r="F23" s="1013">
        <v>755.12997353999992</v>
      </c>
      <c r="G23" s="1014">
        <f t="shared" si="5"/>
        <v>54.555016694345127</v>
      </c>
      <c r="H23" s="1015">
        <f t="shared" si="8"/>
        <v>0.91578546884379541</v>
      </c>
      <c r="I23" s="24"/>
      <c r="J23" s="26"/>
      <c r="K23" s="27"/>
      <c r="L23" s="27"/>
      <c r="M23" s="27"/>
      <c r="N23" s="27"/>
      <c r="O23" s="27"/>
      <c r="P23" s="27"/>
      <c r="Q23" s="27"/>
    </row>
    <row r="24" spans="3:18" ht="15" customHeight="1">
      <c r="C24" s="696" t="str">
        <f>IF(Indice_index!$Z$1=1,"Outras receitas de capital","Other capital revenue")</f>
        <v>Other capital revenue</v>
      </c>
      <c r="D24" s="1013">
        <v>26.772300769999998</v>
      </c>
      <c r="E24" s="1013">
        <v>4.4679302900000009</v>
      </c>
      <c r="F24" s="1013">
        <v>15.916270639999999</v>
      </c>
      <c r="G24" s="1014">
        <f>IF(IFERROR((F24-E24)/E24*100,"")&gt;500,"-",IFERROR((F24-E24)/E24*100,""))</f>
        <v>256.23363855124063</v>
      </c>
      <c r="H24" s="1015">
        <f t="shared" si="8"/>
        <v>3.9333535473758258E-2</v>
      </c>
      <c r="I24" s="24"/>
      <c r="J24" s="26"/>
      <c r="K24" s="26"/>
      <c r="L24" s="27"/>
      <c r="M24" s="27"/>
      <c r="N24" s="27"/>
      <c r="O24" s="27"/>
      <c r="P24" s="27"/>
      <c r="Q24" s="27"/>
    </row>
    <row r="25" spans="3:18" ht="15" customHeight="1">
      <c r="C25" s="696" t="str">
        <f>IF(Indice_index!$Z$1=1,"Diferenças de consolidação","Consolidation differences")</f>
        <v>Consolidation differences</v>
      </c>
      <c r="D25" s="1013">
        <v>14.623591260000369</v>
      </c>
      <c r="E25" s="1013">
        <v>1.1787702900000323</v>
      </c>
      <c r="F25" s="1013">
        <v>0.39257622999999997</v>
      </c>
      <c r="G25" s="1015"/>
      <c r="H25" s="1015"/>
      <c r="I25" s="24"/>
      <c r="J25" s="26"/>
      <c r="K25" s="27"/>
      <c r="L25" s="27"/>
      <c r="M25" s="27"/>
      <c r="N25" s="27"/>
      <c r="O25" s="27"/>
      <c r="P25" s="27"/>
      <c r="Q25" s="27"/>
    </row>
    <row r="26" spans="3:18" ht="5.0999999999999996" customHeight="1">
      <c r="C26" s="1017"/>
      <c r="D26" s="1017"/>
      <c r="E26" s="1017"/>
      <c r="F26" s="1013"/>
      <c r="G26" s="1015"/>
      <c r="H26" s="1015"/>
      <c r="I26" s="24"/>
      <c r="J26" s="26"/>
      <c r="K26" s="27"/>
      <c r="L26" s="27"/>
      <c r="M26" s="27"/>
      <c r="N26" s="27"/>
      <c r="O26" s="27"/>
      <c r="P26" s="27"/>
      <c r="Q26" s="27"/>
    </row>
    <row r="27" spans="3:18" s="260" customFormat="1" ht="15" customHeight="1">
      <c r="C27" s="1018" t="str">
        <f>IF(Indice_index!$Z$1=1,"Receita efetiva","Effective revenue")</f>
        <v>Effective revenue</v>
      </c>
      <c r="D27" s="1018">
        <f>+D9+D19</f>
        <v>84171.177965049981</v>
      </c>
      <c r="E27" s="1018">
        <f>+E9+E19</f>
        <v>29105.80046291</v>
      </c>
      <c r="F27" s="1018">
        <f>+F9+F19</f>
        <v>33813.139220589997</v>
      </c>
      <c r="G27" s="1019">
        <f>IF(IFERROR((F27-E27)/E27*100,"")&gt;500,"-",IFERROR((F27-E27)/E27*100,""))</f>
        <v>16.173198066408233</v>
      </c>
      <c r="H27" s="1020"/>
      <c r="I27" s="262"/>
      <c r="J27" s="263"/>
      <c r="K27" s="264"/>
      <c r="L27" s="264"/>
      <c r="M27" s="264"/>
      <c r="N27" s="264"/>
      <c r="O27" s="264"/>
      <c r="P27" s="264"/>
      <c r="Q27" s="264"/>
      <c r="R27" s="262"/>
    </row>
    <row r="28" spans="3:18" ht="4.3499999999999996" customHeight="1">
      <c r="C28" s="1017"/>
      <c r="D28" s="1017"/>
      <c r="E28" s="33"/>
      <c r="F28" s="1013"/>
      <c r="G28" s="1015"/>
      <c r="H28" s="1015"/>
      <c r="I28" s="24"/>
      <c r="J28" s="26"/>
      <c r="K28" s="27"/>
      <c r="L28" s="27"/>
      <c r="M28" s="27"/>
      <c r="N28" s="27"/>
      <c r="O28" s="27"/>
      <c r="P28" s="27"/>
      <c r="Q28" s="27"/>
    </row>
    <row r="29" spans="3:18" s="260" customFormat="1" ht="15" customHeight="1">
      <c r="C29" s="1009" t="str">
        <f>IF(Indice_index!$Z$1=1,"Despesa corrente","Current expenditure")</f>
        <v>Current expenditure</v>
      </c>
      <c r="D29" s="1009">
        <f t="shared" ref="D29" si="11">+D30+D34+D35+D36+D39+D40+D41</f>
        <v>86897.400296310036</v>
      </c>
      <c r="E29" s="1009">
        <f t="shared" ref="E29:F29" si="12">+E30+E34+E35+E36+E39+E40+E41</f>
        <v>32839.629860749978</v>
      </c>
      <c r="F29" s="1009">
        <f t="shared" si="12"/>
        <v>32365.090015830006</v>
      </c>
      <c r="G29" s="1010">
        <f>IF(IFERROR((F29-E29)/E29*100,"")&gt;500,"-",IFERROR((F29-E29)/E29*100,""))</f>
        <v>-1.4450219047296342</v>
      </c>
      <c r="H29" s="1011">
        <f>IFERROR((F29-E29)/$E$50*100,"")</f>
        <v>-1.3735873215157488</v>
      </c>
      <c r="I29" s="262"/>
      <c r="J29" s="263"/>
      <c r="K29" s="264"/>
      <c r="L29" s="264"/>
      <c r="M29" s="264"/>
      <c r="N29" s="264"/>
      <c r="O29" s="264"/>
      <c r="P29" s="264"/>
      <c r="Q29" s="264"/>
      <c r="R29" s="262"/>
    </row>
    <row r="30" spans="3:18" ht="15" customHeight="1">
      <c r="C30" s="696" t="str">
        <f>IF(Indice_index!$Z$1=1,"Despesas com o pessoal","Employees")</f>
        <v>Employees</v>
      </c>
      <c r="D30" s="1013">
        <f t="shared" ref="D30" si="13">+D31+D32+D33</f>
        <v>19006.993351709996</v>
      </c>
      <c r="E30" s="1013">
        <f t="shared" ref="E30:F30" si="14">+E31+E32+E33</f>
        <v>6921.0497676299992</v>
      </c>
      <c r="F30" s="1013">
        <f t="shared" si="14"/>
        <v>6972.1846672300071</v>
      </c>
      <c r="G30" s="1014">
        <f>IF(IFERROR((F30-E30)/E30*100,"")&gt;500,"-",IFERROR((F30-E30)/E30*100,""))</f>
        <v>0.73883155470384942</v>
      </c>
      <c r="H30" s="1015">
        <f t="shared" ref="H30:H40" si="15">IFERROR((F30-E30)/$E$50*100,"")</f>
        <v>0.14801338713590409</v>
      </c>
      <c r="I30" s="24"/>
      <c r="J30" s="26"/>
      <c r="K30" s="26"/>
      <c r="L30" s="27"/>
      <c r="M30" s="27"/>
      <c r="N30" s="27"/>
      <c r="O30" s="27"/>
      <c r="P30" s="27"/>
      <c r="Q30" s="27"/>
    </row>
    <row r="31" spans="3:18" ht="15" customHeight="1">
      <c r="C31" s="1016" t="str">
        <f>IF(Indice_index!$Z$1=1,"Remunerações Certas e Permanentes","Certain and permanent wages")</f>
        <v>Certain and permanent wages</v>
      </c>
      <c r="D31" s="1013">
        <v>13533.620271419999</v>
      </c>
      <c r="E31" s="1013">
        <v>4849.4621486100004</v>
      </c>
      <c r="F31" s="1013">
        <v>4932.800876720009</v>
      </c>
      <c r="G31" s="1014">
        <f>IF(IFERROR((F31-E31)/E31*100,"")&gt;500,"-",IFERROR((F31-E31)/E31*100,""))</f>
        <v>1.7185148694045569</v>
      </c>
      <c r="H31" s="1015">
        <f t="shared" si="15"/>
        <v>0.24122952276528273</v>
      </c>
      <c r="I31" s="24"/>
      <c r="J31" s="26"/>
      <c r="K31" s="26"/>
      <c r="L31" s="27"/>
      <c r="M31" s="27"/>
      <c r="N31" s="27"/>
      <c r="O31" s="27"/>
      <c r="P31" s="27"/>
      <c r="Q31" s="27"/>
    </row>
    <row r="32" spans="3:18" ht="15" customHeight="1">
      <c r="C32" s="1016" t="str">
        <f>IF(Indice_index!$Z$1=1,"Abonos Variáveis ou Eventuais","Variable or contingent bonuses")</f>
        <v>Variable or contingent bonuses</v>
      </c>
      <c r="D32" s="1013">
        <v>1337.0660552600004</v>
      </c>
      <c r="E32" s="1013">
        <v>534.8909187099996</v>
      </c>
      <c r="F32" s="1013">
        <v>528.92826215999992</v>
      </c>
      <c r="G32" s="1014">
        <f>IF(IFERROR((F32-E32)/E32*100,"")&gt;500,"-",IFERROR((F32-E32)/E32*100,""))</f>
        <v>-1.114742528136365</v>
      </c>
      <c r="H32" s="1015">
        <f t="shared" si="15"/>
        <v>-1.7259308206276417E-2</v>
      </c>
      <c r="I32" s="24"/>
      <c r="J32" s="26"/>
      <c r="K32" s="26"/>
      <c r="L32" s="27"/>
      <c r="M32" s="27"/>
      <c r="N32" s="27"/>
      <c r="O32" s="27"/>
      <c r="P32" s="27"/>
      <c r="Q32" s="27"/>
    </row>
    <row r="33" spans="3:18" ht="15" customHeight="1">
      <c r="C33" s="1016" t="str">
        <f>IF(Indice_index!$Z$1=1,"Segurança social","Social security")</f>
        <v>Social security</v>
      </c>
      <c r="D33" s="1013">
        <v>4136.307025029997</v>
      </c>
      <c r="E33" s="1013">
        <v>1536.696700309999</v>
      </c>
      <c r="F33" s="1013">
        <v>1510.4555283499988</v>
      </c>
      <c r="G33" s="1014">
        <f>IF(IFERROR((F33-E33)/E33*100,"")&gt;500,"-",IFERROR((F33-E33)/E33*100,""))</f>
        <v>-1.7076350821021837</v>
      </c>
      <c r="H33" s="1015">
        <f t="shared" si="15"/>
        <v>-7.5956827423099935E-2</v>
      </c>
      <c r="I33" s="24"/>
      <c r="J33" s="26"/>
      <c r="K33" s="26"/>
      <c r="L33" s="27"/>
      <c r="M33" s="27"/>
      <c r="N33" s="27"/>
      <c r="O33" s="27"/>
      <c r="P33" s="27"/>
      <c r="Q33" s="27"/>
    </row>
    <row r="34" spans="3:18" ht="15" customHeight="1">
      <c r="C34" s="696" t="str">
        <f>IF(Indice_index!$Z$1=1,"Aquisição de bens e serviços","Purchase of goods and services")</f>
        <v>Purchase of goods and services</v>
      </c>
      <c r="D34" s="1013">
        <v>11472.973301580041</v>
      </c>
      <c r="E34" s="1013">
        <v>3593.9554800599749</v>
      </c>
      <c r="F34" s="1013">
        <v>4072.881376909997</v>
      </c>
      <c r="G34" s="1014">
        <f t="shared" ref="G34:G40" si="16">IF(IFERROR((F34-E34)/E34*100,"")&gt;500,"-",IFERROR((F34-E34)/E34*100,""))</f>
        <v>13.325871717309919</v>
      </c>
      <c r="H34" s="1015">
        <f t="shared" si="15"/>
        <v>1.3862830421957346</v>
      </c>
      <c r="I34" s="24"/>
      <c r="J34" s="26"/>
      <c r="K34" s="27"/>
      <c r="L34" s="27"/>
      <c r="M34" s="27"/>
      <c r="N34" s="27"/>
      <c r="O34" s="27"/>
      <c r="P34" s="27"/>
      <c r="Q34" s="27"/>
    </row>
    <row r="35" spans="3:18" ht="15" customHeight="1">
      <c r="C35" s="696" t="str">
        <f>IF(Indice_index!$Z$1=1,"Juros e outros encargos","Interests and other charges")</f>
        <v>Interests and other charges</v>
      </c>
      <c r="D35" s="1013">
        <v>6799.7249258299998</v>
      </c>
      <c r="E35" s="1013">
        <v>3311.629273309999</v>
      </c>
      <c r="F35" s="1013">
        <v>2860.69841709</v>
      </c>
      <c r="G35" s="1014">
        <f>IF(IFERROR((F35-E35)/E35*100,"")&gt;500,"-",IFERROR((F35-E35)/E35*100,""))</f>
        <v>-13.616586248172947</v>
      </c>
      <c r="H35" s="1015">
        <f t="shared" si="15"/>
        <v>-1.3052495245968003</v>
      </c>
      <c r="I35" s="24"/>
      <c r="J35" s="26"/>
      <c r="K35" s="27"/>
      <c r="L35" s="27"/>
      <c r="M35" s="27"/>
      <c r="N35" s="27"/>
      <c r="O35" s="27"/>
      <c r="P35" s="27"/>
      <c r="Q35" s="27"/>
    </row>
    <row r="36" spans="3:18" ht="15" customHeight="1">
      <c r="C36" s="696" t="str">
        <f>IF(Indice_index!$Z$1=1,"Transferências correntes","Current transfers")</f>
        <v>Current transfers</v>
      </c>
      <c r="D36" s="1013">
        <f t="shared" ref="D36" si="17">+D37+D38</f>
        <v>47104.764315169996</v>
      </c>
      <c r="E36" s="1013">
        <f t="shared" ref="E36:F36" si="18">+E37+E38</f>
        <v>18131.547406369998</v>
      </c>
      <c r="F36" s="1013">
        <f t="shared" si="18"/>
        <v>17506.903999280006</v>
      </c>
      <c r="G36" s="1014">
        <f>IF(IFERROR((F36-E36)/E36*100,"")&gt;500,"-",IFERROR((F36-E36)/E36*100,""))</f>
        <v>-3.4450639710460771</v>
      </c>
      <c r="H36" s="1015">
        <f t="shared" si="15"/>
        <v>-1.8080721221458484</v>
      </c>
      <c r="I36" s="24"/>
      <c r="J36" s="26"/>
      <c r="K36" s="27"/>
      <c r="L36" s="27"/>
      <c r="M36" s="27"/>
      <c r="N36" s="27"/>
      <c r="O36" s="27"/>
      <c r="P36" s="27"/>
      <c r="Q36" s="27"/>
    </row>
    <row r="37" spans="3:18" ht="15" customHeight="1">
      <c r="C37" s="1016" t="str">
        <f>IF(Indice_index!$Z$1=1,"Administrações Públicas","General Government subsectors")</f>
        <v>General Government subsectors</v>
      </c>
      <c r="D37" s="1013">
        <v>4286.362799350004</v>
      </c>
      <c r="E37" s="1013">
        <v>1801.877884050002</v>
      </c>
      <c r="F37" s="1013">
        <v>1786.0784573900005</v>
      </c>
      <c r="G37" s="1014">
        <f>IF(IFERROR((F37-E37)/E37*100,"")&gt;500,"-",IFERROR((F37-E37)/E37*100,""))</f>
        <v>-0.87683115486659924</v>
      </c>
      <c r="H37" s="1015">
        <f t="shared" si="15"/>
        <v>-4.5732497238574053E-2</v>
      </c>
      <c r="I37" s="24"/>
      <c r="J37" s="26"/>
      <c r="K37" s="27"/>
      <c r="L37" s="27"/>
      <c r="M37" s="27"/>
      <c r="N37" s="27"/>
      <c r="O37" s="27"/>
      <c r="P37" s="27"/>
      <c r="Q37" s="27"/>
    </row>
    <row r="38" spans="3:18" ht="15" customHeight="1">
      <c r="C38" s="1016" t="str">
        <f>IF(Indice_index!$Z$1=1,"Outras","Others")</f>
        <v>Others</v>
      </c>
      <c r="D38" s="1013">
        <v>42818.401515819991</v>
      </c>
      <c r="E38" s="1013">
        <v>16329.669522319995</v>
      </c>
      <c r="F38" s="1013">
        <v>15720.825541890004</v>
      </c>
      <c r="G38" s="1014">
        <f>IF(IFERROR((F38-E38)/E38*100,"")&gt;500,"-",IFERROR((F38-E38)/E38*100,""))</f>
        <v>-3.7284525543998313</v>
      </c>
      <c r="H38" s="1015">
        <f t="shared" si="15"/>
        <v>-1.7623396249072738</v>
      </c>
      <c r="I38" s="24"/>
      <c r="J38" s="26"/>
      <c r="K38" s="27"/>
      <c r="L38" s="27"/>
      <c r="M38" s="27"/>
      <c r="N38" s="27"/>
      <c r="O38" s="27"/>
      <c r="P38" s="27"/>
      <c r="Q38" s="27"/>
    </row>
    <row r="39" spans="3:18" ht="15" customHeight="1">
      <c r="C39" s="696" t="str">
        <f>IF(Indice_index!$Z$1=1,"Subsídios","Subsidies")</f>
        <v>Subsidies</v>
      </c>
      <c r="D39" s="1013">
        <v>1651.8126438400002</v>
      </c>
      <c r="E39" s="1013">
        <v>606.11111961000017</v>
      </c>
      <c r="F39" s="1013">
        <v>716.74588382000024</v>
      </c>
      <c r="G39" s="1014">
        <f>IF(IFERROR((F39-E39)/E39*100,"")&gt;500,"-",IFERROR((F39-E39)/E39*100,""))</f>
        <v>18.253214737454012</v>
      </c>
      <c r="H39" s="1015">
        <f t="shared" si="15"/>
        <v>0.32023972499794801</v>
      </c>
      <c r="I39" s="24"/>
      <c r="J39" s="26"/>
      <c r="K39" s="26"/>
      <c r="L39" s="27"/>
      <c r="M39" s="27"/>
      <c r="N39" s="27"/>
      <c r="O39" s="27"/>
      <c r="P39" s="27"/>
      <c r="Q39" s="27"/>
    </row>
    <row r="40" spans="3:18" ht="15" customHeight="1">
      <c r="C40" s="696" t="str">
        <f>IF(Indice_index!$Z$1=1,"Outras despesas correntes","Other current expenditure")</f>
        <v>Other current expenditure</v>
      </c>
      <c r="D40" s="1013">
        <v>647.6559153999998</v>
      </c>
      <c r="E40" s="1013">
        <v>205.55282664000003</v>
      </c>
      <c r="F40" s="1013">
        <v>224.13357634000008</v>
      </c>
      <c r="G40" s="1014">
        <f t="shared" si="16"/>
        <v>9.0394036432016041</v>
      </c>
      <c r="H40" s="1015">
        <f t="shared" si="15"/>
        <v>5.3783222811314875E-2</v>
      </c>
      <c r="I40" s="24"/>
      <c r="J40" s="26"/>
      <c r="K40" s="27"/>
      <c r="L40" s="27"/>
      <c r="M40" s="27"/>
      <c r="N40" s="27"/>
      <c r="O40" s="27"/>
      <c r="P40" s="27"/>
      <c r="Q40" s="27"/>
    </row>
    <row r="41" spans="3:18" ht="15" customHeight="1">
      <c r="C41" s="696" t="str">
        <f>IF(Indice_index!$Z$1=1,"Diferenças de consolidação","Consolidation differences")</f>
        <v>Consolidation differences</v>
      </c>
      <c r="D41" s="1013">
        <v>213.47584277999948</v>
      </c>
      <c r="E41" s="1013">
        <v>69.783987130000355</v>
      </c>
      <c r="F41" s="1013">
        <v>11.542095159999178</v>
      </c>
      <c r="G41" s="1015"/>
      <c r="H41" s="1015"/>
      <c r="I41" s="24"/>
      <c r="J41" s="26"/>
      <c r="K41" s="27"/>
      <c r="L41" s="27"/>
      <c r="M41" s="27"/>
      <c r="N41" s="27"/>
      <c r="O41" s="27"/>
      <c r="P41" s="27"/>
      <c r="Q41" s="27"/>
    </row>
    <row r="42" spans="3:18" s="260" customFormat="1" ht="15" customHeight="1">
      <c r="C42" s="1009" t="str">
        <f>IF(Indice_index!$Z$1=1,"Despesa de capital","Capital expenditure")</f>
        <v>Capital expenditure</v>
      </c>
      <c r="D42" s="1009">
        <f t="shared" ref="D42" si="19">+D43+D44+D47+D48</f>
        <v>5568.2323646999976</v>
      </c>
      <c r="E42" s="1009">
        <f t="shared" ref="E42:F42" si="20">+E43+E44+E47+E48</f>
        <v>1707.8530321699998</v>
      </c>
      <c r="F42" s="1009">
        <f t="shared" si="20"/>
        <v>1769.5026529499996</v>
      </c>
      <c r="G42" s="1010">
        <f>IF(IFERROR((F42-E42)/E42*100,"")&gt;500,"-",IFERROR((F42-E42)/E42*100,""))</f>
        <v>3.6097731841520218</v>
      </c>
      <c r="H42" s="1011">
        <f t="shared" ref="H42:H47" si="21">IFERROR((F42-E42)/$E$50*100,"")</f>
        <v>0.17844895088618473</v>
      </c>
      <c r="I42" s="262"/>
      <c r="J42" s="263"/>
      <c r="K42" s="264"/>
      <c r="L42" s="264"/>
      <c r="M42" s="264"/>
      <c r="N42" s="264"/>
      <c r="O42" s="264"/>
      <c r="P42" s="264"/>
      <c r="Q42" s="264"/>
      <c r="R42" s="262"/>
    </row>
    <row r="43" spans="3:18" ht="15" customHeight="1">
      <c r="C43" s="696" t="str">
        <f>IF(Indice_index!$Z$1=1,"Investimento","Investments")</f>
        <v>Investments</v>
      </c>
      <c r="D43" s="1013">
        <v>3462.5933778499971</v>
      </c>
      <c r="E43" s="1013">
        <v>1162.61566722</v>
      </c>
      <c r="F43" s="1013">
        <v>1277.2463713899997</v>
      </c>
      <c r="G43" s="1014">
        <f>IF(IFERROR((F43-E43)/E43*100,"")&gt;500,"-",IFERROR((F43-E43)/E43*100,""))</f>
        <v>9.8597247054222201</v>
      </c>
      <c r="H43" s="1015">
        <f t="shared" si="21"/>
        <v>0.33180624048732554</v>
      </c>
      <c r="I43" s="24"/>
      <c r="J43" s="26"/>
      <c r="K43" s="26"/>
      <c r="L43" s="27"/>
      <c r="M43" s="27"/>
      <c r="N43" s="27"/>
      <c r="O43" s="27"/>
      <c r="P43" s="27"/>
      <c r="Q43" s="27"/>
    </row>
    <row r="44" spans="3:18" s="28" customFormat="1" ht="15" customHeight="1">
      <c r="C44" s="696" t="str">
        <f>IF(Indice_index!$Z$1=1,"Transferências de capital","Capital transfers")</f>
        <v>Capital transfers</v>
      </c>
      <c r="D44" s="1013">
        <f t="shared" ref="D44" si="22">+D45+D46</f>
        <v>1904.0961641900003</v>
      </c>
      <c r="E44" s="1013">
        <f t="shared" ref="E44:F44" si="23">+E45+E46</f>
        <v>533.32533135999995</v>
      </c>
      <c r="F44" s="1013">
        <f t="shared" si="23"/>
        <v>460.12795762000002</v>
      </c>
      <c r="G44" s="1014">
        <f>IF(IFERROR((F44-E44)/E44*100,"")&gt;500,"-",IFERROR((F44-E44)/E44*100,""))</f>
        <v>-13.724713497733894</v>
      </c>
      <c r="H44" s="1015">
        <f t="shared" si="21"/>
        <v>-0.21187469421976532</v>
      </c>
      <c r="I44" s="24"/>
      <c r="J44" s="26"/>
      <c r="K44" s="27"/>
      <c r="L44" s="27"/>
      <c r="M44" s="27"/>
      <c r="N44" s="27"/>
      <c r="O44" s="27"/>
      <c r="P44" s="27"/>
      <c r="Q44" s="27"/>
      <c r="R44" s="24"/>
    </row>
    <row r="45" spans="3:18" ht="15" customHeight="1">
      <c r="C45" s="1016" t="str">
        <f>IF(Indice_index!$Z$1=1,"Administrações Públicas","General Government subsectors")</f>
        <v>General Government subsectors</v>
      </c>
      <c r="D45" s="1013">
        <v>607.42973998000014</v>
      </c>
      <c r="E45" s="1013">
        <v>249.49488801999999</v>
      </c>
      <c r="F45" s="1013">
        <v>254.72595004999999</v>
      </c>
      <c r="G45" s="1014">
        <f>IF(IFERROR((F45-E45)/E45*100,"")&gt;500,"-",IFERROR((F45-E45)/E45*100,""))</f>
        <v>2.0966610063692657</v>
      </c>
      <c r="H45" s="1015">
        <f t="shared" si="21"/>
        <v>1.5141658934208596E-2</v>
      </c>
      <c r="I45" s="24"/>
      <c r="J45" s="26"/>
      <c r="K45" s="27"/>
      <c r="L45" s="27"/>
      <c r="M45" s="27"/>
      <c r="N45" s="27"/>
      <c r="O45" s="27"/>
      <c r="P45" s="27"/>
      <c r="Q45" s="27"/>
    </row>
    <row r="46" spans="3:18" ht="15" customHeight="1">
      <c r="C46" s="1016" t="str">
        <f>IF(Indice_index!$Z$1=1,"Outras","Others")</f>
        <v>Others</v>
      </c>
      <c r="D46" s="1013">
        <v>1296.6664242100001</v>
      </c>
      <c r="E46" s="1013">
        <v>283.83044333999999</v>
      </c>
      <c r="F46" s="1013">
        <v>205.40200757000002</v>
      </c>
      <c r="G46" s="1014">
        <f t="shared" ref="G46" si="24">IF(IFERROR((F46-E46)/E46*100,"")&gt;500,"-",IFERROR((F46-E46)/E46*100,""))</f>
        <v>-27.632143630220341</v>
      </c>
      <c r="H46" s="1015">
        <f t="shared" si="21"/>
        <v>-0.22701635315397398</v>
      </c>
      <c r="I46" s="24"/>
      <c r="J46" s="26"/>
      <c r="K46" s="27"/>
      <c r="L46" s="27"/>
      <c r="M46" s="27"/>
      <c r="N46" s="27"/>
      <c r="O46" s="27"/>
      <c r="P46" s="27"/>
      <c r="Q46" s="27"/>
    </row>
    <row r="47" spans="3:18" ht="15" customHeight="1">
      <c r="C47" s="696" t="str">
        <f>IF(Indice_index!$Z$1=1,"Outras despesas de capital","Other capital expenditure")</f>
        <v>Other capital expenditure</v>
      </c>
      <c r="D47" s="1013">
        <v>149.79872605000003</v>
      </c>
      <c r="E47" s="1013">
        <v>8.2111267099999985</v>
      </c>
      <c r="F47" s="1013">
        <v>18.380391979999999</v>
      </c>
      <c r="G47" s="1014">
        <f>IF(IFERROR((F47-E47)/E47*100,"")&gt;500,"-",IFERROR((F47-E47)/E47*100,""))</f>
        <v>123.84737964907136</v>
      </c>
      <c r="H47" s="1015">
        <f t="shared" si="21"/>
        <v>2.943561851240991E-2</v>
      </c>
      <c r="I47" s="24"/>
      <c r="J47" s="26"/>
      <c r="K47" s="26"/>
      <c r="L47" s="27"/>
      <c r="M47" s="27"/>
      <c r="N47" s="27"/>
      <c r="O47" s="27"/>
      <c r="P47" s="27"/>
      <c r="Q47" s="27"/>
    </row>
    <row r="48" spans="3:18" ht="15" customHeight="1">
      <c r="C48" s="696" t="str">
        <f>IF(Indice_index!$Z$1=1,"Diferenças de consolidação","Consolidation differences")</f>
        <v>Consolidation differences</v>
      </c>
      <c r="D48" s="1013">
        <v>51.744096609999815</v>
      </c>
      <c r="E48" s="1013">
        <v>3.7009068799999909</v>
      </c>
      <c r="F48" s="1013">
        <v>13.747931960000013</v>
      </c>
      <c r="G48" s="1015"/>
      <c r="H48" s="1015"/>
      <c r="I48" s="24"/>
      <c r="J48" s="26"/>
      <c r="K48" s="27"/>
      <c r="L48" s="27"/>
      <c r="M48" s="27"/>
      <c r="N48" s="27"/>
      <c r="O48" s="27"/>
      <c r="P48" s="27"/>
      <c r="Q48" s="27"/>
    </row>
    <row r="49" spans="3:18" ht="2.4500000000000002" customHeight="1">
      <c r="C49" s="1013"/>
      <c r="D49" s="1013"/>
      <c r="E49" s="1013"/>
      <c r="F49" s="1013"/>
      <c r="G49" s="1015"/>
      <c r="H49" s="1015"/>
      <c r="I49" s="24"/>
      <c r="J49" s="26"/>
      <c r="K49" s="27"/>
      <c r="L49" s="27"/>
      <c r="M49" s="27"/>
      <c r="N49" s="27"/>
      <c r="O49" s="27"/>
      <c r="P49" s="27"/>
      <c r="Q49" s="27"/>
    </row>
    <row r="50" spans="3:18" s="260" customFormat="1" ht="15" customHeight="1">
      <c r="C50" s="1021" t="str">
        <f>IF(Indice_index!$Z$1=1,"Despesa efetiva","Effective Expenditure")</f>
        <v>Effective Expenditure</v>
      </c>
      <c r="D50" s="1021">
        <f t="shared" ref="D50" si="25">+D29+D42</f>
        <v>92465.632661010037</v>
      </c>
      <c r="E50" s="1021">
        <f t="shared" ref="E50:F50" si="26">+E29+E42</f>
        <v>34547.482892919979</v>
      </c>
      <c r="F50" s="1021">
        <f t="shared" si="26"/>
        <v>34134.592668780009</v>
      </c>
      <c r="G50" s="1022">
        <f t="shared" ref="G50" si="27">IF(IFERROR((F50-E50)/E50*100,"")&gt;500,"-",IFERROR((F50-E50)/E50*100,""))</f>
        <v>-1.1951383706295609</v>
      </c>
      <c r="H50" s="1023"/>
      <c r="I50" s="262"/>
      <c r="J50" s="263"/>
      <c r="K50" s="264"/>
      <c r="L50" s="264"/>
      <c r="M50" s="264"/>
      <c r="N50" s="264"/>
      <c r="O50" s="264"/>
      <c r="P50" s="264"/>
      <c r="Q50" s="264"/>
      <c r="R50" s="262"/>
    </row>
    <row r="51" spans="3:18" ht="8.25" customHeight="1">
      <c r="C51" s="1007"/>
      <c r="D51" s="1007"/>
      <c r="E51" s="33"/>
      <c r="F51" s="1007"/>
      <c r="G51" s="1024"/>
      <c r="H51" s="1025"/>
      <c r="I51" s="29"/>
      <c r="J51" s="26"/>
      <c r="K51" s="27"/>
      <c r="L51" s="27"/>
      <c r="M51" s="27"/>
      <c r="N51" s="27"/>
      <c r="O51" s="27"/>
      <c r="P51" s="27"/>
      <c r="Q51" s="27"/>
    </row>
    <row r="52" spans="3:18" s="260" customFormat="1" ht="15" customHeight="1">
      <c r="C52" s="1021" t="str">
        <f>IF(Indice_index!$Z$1=1,"Saldo global","Overall balance")</f>
        <v>Overall balance</v>
      </c>
      <c r="D52" s="1021">
        <f t="shared" ref="D52" si="28">+D27-D50</f>
        <v>-8294.4546959600557</v>
      </c>
      <c r="E52" s="1021">
        <f t="shared" ref="E52:F52" si="29">+E27-E50</f>
        <v>-5441.6824300099797</v>
      </c>
      <c r="F52" s="1021">
        <f t="shared" si="29"/>
        <v>-321.45344819001184</v>
      </c>
      <c r="G52" s="1023"/>
      <c r="H52" s="1023"/>
      <c r="J52" s="266"/>
      <c r="K52" s="266"/>
      <c r="L52" s="264"/>
      <c r="M52" s="264"/>
      <c r="N52" s="264"/>
      <c r="O52" s="264"/>
      <c r="P52" s="264"/>
      <c r="Q52" s="264"/>
      <c r="R52" s="262"/>
    </row>
    <row r="53" spans="3:18" ht="5.0999999999999996" customHeight="1">
      <c r="C53" s="1026"/>
      <c r="D53" s="1026"/>
      <c r="E53" s="1008"/>
      <c r="F53" s="1013"/>
      <c r="G53" s="1025"/>
      <c r="H53" s="1025"/>
      <c r="J53" s="26"/>
      <c r="K53" s="27"/>
      <c r="L53" s="27"/>
      <c r="M53" s="27"/>
      <c r="N53" s="27"/>
      <c r="O53" s="27"/>
      <c r="P53" s="27"/>
      <c r="Q53" s="27"/>
    </row>
    <row r="54" spans="3:18" ht="15" customHeight="1">
      <c r="C54" s="696" t="str">
        <f>IF(Indice_index!$Z$1=1,"Despesa primária","Primary expenditure")</f>
        <v>Primary expenditure</v>
      </c>
      <c r="D54" s="1027">
        <f>+D50-D35</f>
        <v>85665.907735180037</v>
      </c>
      <c r="E54" s="1027">
        <f t="shared" ref="E54" si="30">+E50-E35</f>
        <v>31235.853619609981</v>
      </c>
      <c r="F54" s="1027">
        <f>+F50-F35</f>
        <v>31273.89425169001</v>
      </c>
      <c r="G54" s="1014">
        <f t="shared" ref="G54" si="31">IF(IFERROR((F54-E54)/E54*100,"")&gt;500,"-",IFERROR((F54-E54)/E54*100,""))</f>
        <v>0.12178515286723715</v>
      </c>
      <c r="H54" s="1014">
        <f t="shared" ref="H54" si="32">IFERROR((F54-E54)/$E$50*100,"")</f>
        <v>0.11011115396723835</v>
      </c>
      <c r="I54" s="30"/>
      <c r="J54" s="30"/>
      <c r="K54" s="30"/>
      <c r="L54" s="27"/>
      <c r="M54" s="27"/>
      <c r="N54" s="27"/>
      <c r="O54" s="27"/>
      <c r="P54" s="27"/>
      <c r="Q54" s="27"/>
    </row>
    <row r="55" spans="3:18" ht="15" customHeight="1">
      <c r="C55" s="696" t="str">
        <f>IF(Indice_index!$Z$1=1,"Saldo corrente","Current balance")</f>
        <v>Current balance</v>
      </c>
      <c r="D55" s="1027">
        <f>+D9-D29</f>
        <v>-3941.2914915800502</v>
      </c>
      <c r="E55" s="1027">
        <f>+E9-E29</f>
        <v>-4297.0884350899796</v>
      </c>
      <c r="F55" s="1027">
        <f>+F9-F29</f>
        <v>609.2966410999943</v>
      </c>
      <c r="G55" s="1027"/>
      <c r="H55" s="1027"/>
      <c r="J55" s="30"/>
      <c r="K55" s="27"/>
      <c r="L55" s="27"/>
      <c r="M55" s="27"/>
      <c r="N55" s="27"/>
      <c r="O55" s="27"/>
      <c r="P55" s="24"/>
    </row>
    <row r="56" spans="3:18" ht="15" customHeight="1">
      <c r="C56" s="696" t="str">
        <f>IF(Indice_index!$Z$1=1,"Saldo de capital","Capital balance")</f>
        <v>Capital balance</v>
      </c>
      <c r="D56" s="1027">
        <f t="shared" ref="D56" si="33">+D19-D42</f>
        <v>-4353.1632043799973</v>
      </c>
      <c r="E56" s="1027">
        <f t="shared" ref="E56:F56" si="34">+E19-E42</f>
        <v>-1144.5939949199997</v>
      </c>
      <c r="F56" s="1027">
        <f t="shared" si="34"/>
        <v>-930.75008928999966</v>
      </c>
      <c r="G56" s="1027"/>
      <c r="H56" s="1027"/>
      <c r="J56" s="30"/>
      <c r="K56" s="27"/>
      <c r="L56" s="27"/>
      <c r="M56" s="27"/>
      <c r="N56" s="27"/>
      <c r="O56" s="27"/>
      <c r="P56" s="24"/>
    </row>
    <row r="57" spans="3:18" ht="15" customHeight="1">
      <c r="C57" s="1028" t="str">
        <f>IF(Indice_index!$Z$1=1,"Saldo primário","Primary balance")</f>
        <v>Primary balance</v>
      </c>
      <c r="D57" s="1029">
        <f t="shared" ref="D57" si="35">+D52+D35</f>
        <v>-1494.7297701300558</v>
      </c>
      <c r="E57" s="1029">
        <f t="shared" ref="E57:F57" si="36">+E52+E35</f>
        <v>-2130.0531566999807</v>
      </c>
      <c r="F57" s="1029">
        <f t="shared" si="36"/>
        <v>2539.2449688999882</v>
      </c>
      <c r="G57" s="1029"/>
      <c r="H57" s="1029"/>
      <c r="J57" s="30"/>
      <c r="K57" s="27"/>
      <c r="L57" s="27"/>
      <c r="M57" s="27"/>
      <c r="N57" s="27"/>
      <c r="O57" s="27"/>
      <c r="P57" s="24"/>
    </row>
    <row r="58" spans="3:18" ht="15" customHeight="1">
      <c r="C58" s="1030" t="str">
        <f>IF(Indice_index!$Z$1=1,"Ativos financeiros líquidos de reembolsos","Financial assets net of reimbursements")</f>
        <v>Financial assets net of reimbursements</v>
      </c>
      <c r="D58" s="1031">
        <v>872.45677738999893</v>
      </c>
      <c r="E58" s="1031">
        <v>-1645.4971526500003</v>
      </c>
      <c r="F58" s="1005">
        <v>215.72303291999924</v>
      </c>
      <c r="G58" s="1031"/>
      <c r="H58" s="1031"/>
      <c r="J58" s="22"/>
      <c r="K58" s="26"/>
      <c r="L58" s="27"/>
      <c r="M58" s="26"/>
      <c r="N58" s="27"/>
      <c r="O58" s="27"/>
      <c r="P58" s="24"/>
    </row>
    <row r="59" spans="3:18" ht="15" customHeight="1">
      <c r="C59" s="1032" t="str">
        <f>IF(Indice_index!$Z$1=1,"dos quais Receitas de:","of which revenue from:")</f>
        <v>of which revenue from:</v>
      </c>
      <c r="D59" s="1032"/>
      <c r="E59" s="1027"/>
      <c r="F59" s="1013"/>
      <c r="G59" s="1027"/>
      <c r="H59" s="1027"/>
      <c r="J59" s="22"/>
      <c r="K59" s="26"/>
      <c r="L59" s="27"/>
      <c r="M59" s="26"/>
      <c r="N59" s="27"/>
      <c r="O59" s="27"/>
      <c r="P59" s="24"/>
    </row>
    <row r="60" spans="3:18" ht="15" customHeight="1">
      <c r="C60" s="1016" t="str">
        <f>IF(Indice_index!$Z$1=1,"Alienação de partes de Capital","Disposal of Capital Shares")</f>
        <v>Disposal of Capital Shares</v>
      </c>
      <c r="D60" s="1027">
        <v>1.3794E-4</v>
      </c>
      <c r="E60" s="1027">
        <v>0</v>
      </c>
      <c r="F60" s="1027">
        <v>0</v>
      </c>
      <c r="G60" s="1027"/>
      <c r="H60" s="1027"/>
      <c r="J60" s="22"/>
      <c r="K60" s="26"/>
      <c r="L60" s="27"/>
      <c r="M60" s="27"/>
      <c r="N60" s="27"/>
      <c r="O60" s="27"/>
      <c r="P60" s="24"/>
    </row>
    <row r="61" spans="3:18" ht="15" customHeight="1">
      <c r="C61" s="1028" t="str">
        <f>IF(Indice_index!$Z$1=1,"Passivos financeiros líquidos de amortizações","Financial liabilities net of amortizations")</f>
        <v>Financial liabilities net of amortizations</v>
      </c>
      <c r="D61" s="1029">
        <v>4116.4405282400039</v>
      </c>
      <c r="E61" s="1029">
        <v>2283.1535559800031</v>
      </c>
      <c r="F61" s="1006">
        <v>4775.3580225699916</v>
      </c>
      <c r="G61" s="1029"/>
      <c r="H61" s="1029"/>
      <c r="J61" s="22"/>
      <c r="K61" s="26"/>
      <c r="L61" s="27"/>
      <c r="M61" s="27"/>
      <c r="N61" s="27"/>
      <c r="O61" s="27"/>
      <c r="P61" s="24"/>
    </row>
    <row r="62" spans="3:18" ht="4.5" customHeight="1">
      <c r="J62" s="30"/>
      <c r="K62" s="26"/>
      <c r="L62" s="27"/>
      <c r="M62" s="27"/>
      <c r="N62" s="27"/>
    </row>
    <row r="63" spans="3:18" ht="15" customHeight="1">
      <c r="C63" s="806" t="str">
        <f>IF(Indice_index!$Z$1=1,"Nota:","Note:")</f>
        <v>Note:</v>
      </c>
      <c r="D63" s="63"/>
      <c r="E63" s="53"/>
      <c r="F63" s="53"/>
      <c r="G63" s="53"/>
      <c r="H63" s="53"/>
      <c r="J63" s="30"/>
      <c r="K63" s="26"/>
      <c r="L63" s="27"/>
      <c r="M63" s="27"/>
      <c r="N63" s="27"/>
    </row>
    <row r="64" spans="3:18" ht="15" customHeight="1">
      <c r="C64" s="1674" t="str">
        <f>IF(Indice_index!$Z$1=1,"Os dados de 2021 são mensalmente revistos e atualizados face ao publicado nas Sínteses de Execução Orçamental de 2021.","2021 cumulative execution is monthly reviewed and updated and therefore may differ from data published in 2021.")</f>
        <v>2021 cumulative execution is monthly reviewed and updated and therefore may differ from data published in 2021.</v>
      </c>
      <c r="D64" s="1674"/>
      <c r="E64" s="1674"/>
      <c r="F64" s="1674"/>
      <c r="G64" s="1674"/>
      <c r="H64" s="1674"/>
      <c r="I64" s="63"/>
      <c r="J64" s="22"/>
      <c r="P64" s="24"/>
      <c r="R64" s="22"/>
    </row>
    <row r="65" spans="3:14" ht="4.5" customHeight="1">
      <c r="J65" s="30"/>
      <c r="K65" s="26"/>
      <c r="L65" s="27"/>
      <c r="M65" s="27"/>
      <c r="N65" s="27"/>
    </row>
    <row r="66" spans="3:14" ht="15" customHeight="1">
      <c r="C66" s="1033" t="str">
        <f>IF(Indice_index!$Z$1=1,"Fonte: Direção-Geral do Orçamento","Source: Budget General Directorate")</f>
        <v>Source: Budget General Directorate</v>
      </c>
      <c r="D66" s="1033"/>
      <c r="E66" s="24"/>
      <c r="F66" s="540"/>
      <c r="H66" s="1007"/>
    </row>
    <row r="67" spans="3:14">
      <c r="E67" s="541"/>
      <c r="F67" s="540"/>
      <c r="H67" s="24"/>
    </row>
    <row r="68" spans="3:14" ht="12.75">
      <c r="C68" s="332"/>
      <c r="D68" s="332"/>
      <c r="E68" s="31"/>
      <c r="F68" s="31"/>
      <c r="H68" s="24"/>
      <c r="I68" s="32"/>
    </row>
    <row r="69" spans="3:14" ht="12.75">
      <c r="C69" s="33"/>
      <c r="D69" s="33"/>
      <c r="E69" s="34"/>
      <c r="F69" s="34"/>
      <c r="G69" s="32"/>
      <c r="H69" s="24"/>
      <c r="I69" s="32"/>
    </row>
    <row r="70" spans="3:14" ht="12.75">
      <c r="C70" s="33"/>
      <c r="D70" s="33"/>
      <c r="E70" s="27"/>
      <c r="F70" s="27"/>
      <c r="G70" s="32"/>
      <c r="H70" s="27"/>
    </row>
    <row r="71" spans="3:14" ht="12.75">
      <c r="C71" s="33"/>
      <c r="D71" s="33"/>
      <c r="E71" s="29"/>
      <c r="F71" s="35"/>
      <c r="G71" s="32"/>
      <c r="H71" s="27"/>
    </row>
    <row r="72" spans="3:14" ht="12.75">
      <c r="C72" s="33"/>
      <c r="D72" s="33"/>
      <c r="E72" s="27"/>
      <c r="F72" s="27"/>
      <c r="G72" s="32"/>
      <c r="H72" s="27"/>
    </row>
    <row r="73" spans="3:14" ht="12.75">
      <c r="C73" s="33"/>
      <c r="D73" s="33"/>
      <c r="E73" s="27"/>
      <c r="F73" s="36"/>
      <c r="G73" s="37"/>
      <c r="H73" s="27"/>
    </row>
    <row r="74" spans="3:14" ht="12.75">
      <c r="C74" s="33"/>
      <c r="D74" s="33"/>
      <c r="E74" s="38"/>
      <c r="F74" s="38"/>
      <c r="G74" s="38"/>
      <c r="H74" s="39"/>
    </row>
    <row r="75" spans="3:14" ht="12.75">
      <c r="C75" s="33"/>
      <c r="D75" s="33"/>
      <c r="E75" s="38"/>
      <c r="F75" s="26"/>
      <c r="G75" s="33"/>
      <c r="H75" s="26"/>
    </row>
    <row r="76" spans="3:14" ht="12.75">
      <c r="E76" s="40"/>
      <c r="F76" s="40"/>
    </row>
    <row r="77" spans="3:14" ht="12.75">
      <c r="E77" s="40"/>
    </row>
    <row r="78" spans="3:14" ht="12.75">
      <c r="E78" s="40"/>
    </row>
    <row r="82" spans="3:4" ht="11.25" customHeight="1"/>
    <row r="85" spans="3:4">
      <c r="C85" s="41"/>
      <c r="D85" s="41"/>
    </row>
    <row r="86" spans="3:4">
      <c r="C86" s="41"/>
      <c r="D86" s="41"/>
    </row>
    <row r="89" spans="3:4" ht="11.25" customHeight="1"/>
    <row r="97" spans="3:4">
      <c r="C97" s="41"/>
      <c r="D97" s="41"/>
    </row>
  </sheetData>
  <mergeCells count="3">
    <mergeCell ref="E6:F6"/>
    <mergeCell ref="G6:H6"/>
    <mergeCell ref="C64:H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G11:XFD13 G20:XFD20 G22:XFD25 G31:XFD35 G43:XFD43 G45:XFD48 A65:D65 G58:XFD61 A6:B7 A1:D1 G15:XFD18 G37:XFD41 A62:D62 A68:B68 D68 A63:B63 D63 A5:B5 I6:XFD7 A64:B64 D64 E64:F64 A69:D84 A8:B8 E62:XFD63 E1:XFD4 G64:XFD64 A9:C34 E9:XFD10 E14:XFD14 E19:XFD19 E21:XFD21 E26:XFD30 E36:XFD36 E42:XFD42 E44:XFD44 E49:XFD57 E65:XFD1048576 A67:D67 A66:C66 D66 A3:D4 A2:C2 D2 A87:D96 A85:B85 D85 A86:B86 D86 A98:D1048576 A97:B97 D97 I8:XFD8 I5:XFD5 C8:H8 D9:D10 G7 C7 H6 F6 E5:H5 E6 G6 H7 D14 D19 D21 D26:D30 D36 D42 D44 D49:D57 D5 C6 D6 A36:C61 A35:B35" unlockedFormula="1"/>
    <ignoredError sqref="D7:F7" numberStoredAsText="1" unlockedFormula="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4</Ordem>
    <Mes xmlns="23bc334f-0e17-402a-872b-0123af4c73a8">6</Mes>
    <_dlc_DocId xmlns="23bc334f-0e17-402a-872b-0123af4c73a8">X4XX2SRTQWXX-37-1695</_dlc_DocId>
    <_dlc_DocIdUrl xmlns="23bc334f-0e17-402a-872b-0123af4c73a8">
      <Url>https://extranet.dgo.gov.pt/execucaoorcamental/_layouts/15/DocIdRedir.aspx?ID=X4XX2SRTQWXX-37-1695</Url>
      <Description>X4XX2SRTQWXX-37-1695</Description>
    </_dlc_DocIdUrl>
  </documentManagement>
</p:properties>
</file>

<file path=customXml/itemProps1.xml><?xml version="1.0" encoding="utf-8"?>
<ds:datastoreItem xmlns:ds="http://schemas.openxmlformats.org/officeDocument/2006/customXml" ds:itemID="{B9A36B8C-FBE0-4E69-8A56-3CCC13A6FCE6}"/>
</file>

<file path=customXml/itemProps2.xml><?xml version="1.0" encoding="utf-8"?>
<ds:datastoreItem xmlns:ds="http://schemas.openxmlformats.org/officeDocument/2006/customXml" ds:itemID="{2AC1A4E4-97C2-4D39-B58F-1214F707492C}"/>
</file>

<file path=customXml/itemProps3.xml><?xml version="1.0" encoding="utf-8"?>
<ds:datastoreItem xmlns:ds="http://schemas.openxmlformats.org/officeDocument/2006/customXml" ds:itemID="{7616634A-C510-40B2-8663-8FF51E22530F}"/>
</file>

<file path=customXml/itemProps4.xml><?xml version="1.0" encoding="utf-8"?>
<ds:datastoreItem xmlns:ds="http://schemas.openxmlformats.org/officeDocument/2006/customXml" ds:itemID="{482A540B-A4AF-4022-9341-B42E779006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84</vt:i4>
      </vt:variant>
    </vt:vector>
  </HeadingPairs>
  <TitlesOfParts>
    <vt:vector size="111" baseType="lpstr">
      <vt:lpstr>Capa EN</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23 -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'23 -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'22 - Util. Cond. Dot. Orç'!Print_Area</vt:lpstr>
      <vt:lpstr>'23 -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EN'!Print_Area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'22 - Util. Cond. Dot. Orç'!Print_Titles</vt:lpstr>
      <vt:lpstr>'23 -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'23 -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&lt;em&gt;Statistical Annex&lt;/em&gt;</dc:title>
  <dc:creator>Paulo Almeida</dc:creator>
  <cp:lastModifiedBy>DGO</cp:lastModifiedBy>
  <cp:lastPrinted>2022-06-29T09:52:22Z</cp:lastPrinted>
  <dcterms:created xsi:type="dcterms:W3CDTF">2018-09-13T17:26:24Z</dcterms:created>
  <dcterms:modified xsi:type="dcterms:W3CDTF">2022-06-29T17:43:33Z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4f37e704-a721-4533-9569-247a3283f31b</vt:lpwstr>
  </property>
</Properties>
</file>