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4.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7.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9.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xl/externalLinks/externalLink1.xml" ContentType="application/vnd.openxmlformats-officedocument.spreadsheetml.externalLink+xml"/>
  <Override PartName="/docProps/app.xml" ContentType="application/vnd.openxmlformats-officedocument.extended-properties+xml"/>
  <Override PartName="/xl/ctrlProps/ctrlProp1.xml" ContentType="application/vnd.ms-excel.contro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3"/>
  <workbookPr codeName="EsteLivro"/>
  <mc:AlternateContent xmlns:mc="http://schemas.openxmlformats.org/markup-compatibility/2006">
    <mc:Choice Requires="x15">
      <x15ac:absPath xmlns:x15ac="http://schemas.microsoft.com/office/spreadsheetml/2010/11/ac" url="C:\Users\jose.pereira\Documents\Dados_DGO\Boletins Síntese Execução Orçamental\2023\janeiro\"/>
    </mc:Choice>
  </mc:AlternateContent>
  <xr:revisionPtr revIDLastSave="0" documentId="8_{F1167E9E-E45C-4565-AA88-7EF2607DDFB5}" xr6:coauthVersionLast="36" xr6:coauthVersionMax="36" xr10:uidLastSave="{00000000-0000-0000-0000-000000000000}"/>
  <bookViews>
    <workbookView xWindow="0" yWindow="0" windowWidth="20490" windowHeight="7545" tabRatio="874"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3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'23 - Lista Entidades AC 2022'!$C$4:$C$500</definedName>
    <definedName name="_FilterDatabase" localSheetId="5" hidden="1">'Síntese Global'!#REF!</definedName>
    <definedName name="_xlnm.Print_Area" localSheetId="2">'1 - Saldo Global Rec Desp'!$A$1:$P$21</definedName>
    <definedName name="_xlnm.Print_Area" localSheetId="13">'10 - EPR'!$A$1:$K$89</definedName>
    <definedName name="_xlnm.Print_Area" localSheetId="14">'11 - CGA'!$A$1:$K$56</definedName>
    <definedName name="_xlnm.Print_Area" localSheetId="15">'12 - SS'!$A$1:$J$84</definedName>
    <definedName name="_xlnm.Print_Area" localSheetId="16">'13 - SS Eco'!$A$1:$J$77</definedName>
    <definedName name="_xlnm.Print_Area" localSheetId="17">'14 - Adm R'!$A$1:$N$76</definedName>
    <definedName name="_xlnm.Print_Area" localSheetId="18">'15 - Adm Loc'!$A$1:$H$93</definedName>
    <definedName name="_xlnm.Print_Area" localSheetId="19">'16 - Despesa Ativos '!$A$1:$L$34</definedName>
    <definedName name="_xlnm.Print_Area" localSheetId="20">'17 - SNS exec fin'!$A$1:$J$43</definedName>
    <definedName name="_xlnm.Print_Area" localSheetId="21">'18 - Dív não Fin'!$A$1:$S$61</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Estimativas'!$A$1:$I$51</definedName>
    <definedName name="_xlnm.Print_Area" localSheetId="25">'22 - Util. Cond. Dot. Orç'!$A$1:$H$174</definedName>
    <definedName name="_xlnm.Print_Area" localSheetId="26">'23 - Lista Entidades AC 2022'!$A$1:$D$510</definedName>
    <definedName name="_xlnm.Print_Area" localSheetId="6">'3 - Medidas COVID-19 AP'!$A$1:$F$77</definedName>
    <definedName name="_xlnm.Print_Area" localSheetId="7">'4 - Medidas COVID-19 Subsetores'!$A$1:$J$99</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R_Est'!$A$1:$K$75</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Desp'!$B$2:$O$21</definedName>
    <definedName name="Print_Area" localSheetId="13">'10 - EPR'!$B$2:$K$88</definedName>
    <definedName name="Print_Area" localSheetId="14">'11 - CGA'!$B$2:$J$56</definedName>
    <definedName name="Print_Area" localSheetId="15">'12 - SS'!$B$2:$I$83</definedName>
    <definedName name="Print_Area" localSheetId="16">'13 - SS Eco'!$B$2:$I$75</definedName>
    <definedName name="Print_Area" localSheetId="17">'14 - Adm R'!$B$2:$M$75</definedName>
    <definedName name="Print_Area" localSheetId="18">'15 - Adm Loc'!$B$2:$G$92</definedName>
    <definedName name="Print_Area" localSheetId="19">'16 - Despesa Ativos '!$B$2:$J$33</definedName>
    <definedName name="Print_Area" localSheetId="20">'17 - SNS exec fin'!$B$2:$I$42</definedName>
    <definedName name="Print_Area" localSheetId="21">'18 - Dív não Fin'!$B$2:$R$57</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Estimativas'!$B$2:$I$51</definedName>
    <definedName name="Print_Area" localSheetId="26">'23 - Lista Entidades AC 2022'!$A$1:$D$508</definedName>
    <definedName name="Print_Area" localSheetId="6">'3 - Medidas COVID-19 AP'!$A$2:$E$77</definedName>
    <definedName name="Print_Area" localSheetId="7">'4 - Medidas COVID-19 Subsetores'!$B$2:$I$98</definedName>
    <definedName name="Print_Area" localSheetId="8">'5 - Conta AC + SS'!$B$2:$J$65</definedName>
    <definedName name="Print_Area" localSheetId="9">'6 - Conta AC'!$B$2:$J$61</definedName>
    <definedName name="Print_Area" localSheetId="10">'7 - Estado'!$B$2:$J$77</definedName>
    <definedName name="Print_Area" localSheetId="11">'8 - R_Est'!$B$2:$J$75</definedName>
    <definedName name="Print_Area" localSheetId="12">'9 - SFA'!$B$2:$K$88</definedName>
    <definedName name="Print_Area" localSheetId="0">'Capa PT'!$A$1:$L$55,'Capa PT'!$A$57:$L$111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'23 -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SS'!$B$2:$G$76</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R_Est'!$B$2:$J$75</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SS'!$B$2:$G$76</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Fin'!$B$2:$R$56</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R_Est'!$B$2:$J$75</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SS'!$B$2:$G$76</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R_Est'!$B$2:$J$73</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SS'!$B$2:$G$76</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R_Est'!$B$2:$J$73</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SS'!$B$2:$G$76</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Fin'!$B$2:$R$56</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R_Est'!$B$2:$J$73</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SS'!$B$2:$G$77</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Fin'!$B$2:$R$56</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R_Est'!$B$2:$J$75</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SS'!$B$2:$G$76</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Fin'!$B$2:$R$56</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R_Est'!$B$2:$J$75</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SS'!$B$2:$G$76</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Fin'!$B$2:$R$56</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R_Est'!$B$2:$J$75</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SS'!$B$2:$G$76</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R_Est'!$B$2:$J$73</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SS'!$B$2:$G$76</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R_Est'!$B$2:$J$73</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SS'!$B$2:$G$76</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Fin'!$B$2:$R$56</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R_Est'!$B$2:$J$75</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SS'!$B$2:$G$76</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R_Est'!$B$2:$J$73</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SS'!$B$2:$G$76</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R_Est'!$B$2:$J$73</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SS'!$B$2:$G$76</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R_Est'!$B$2:$J$73</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SS'!$B$2:$G$76</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Fin'!$B$2:$R$56</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R_Est'!$B$2:$J$73</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SS'!$B$2:$G$76</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R_Est'!$B$2:$J$73</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SS'!$B$2:$G$76</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Fin'!$B$2:$R$56</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R_Est'!$B$2:$J$75</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SS'!$B$2:$G$76</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R_Est'!$B$2:$J$73</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3" i="20" l="1"/>
  <c r="P43" i="20"/>
  <c r="O43" i="20"/>
  <c r="N43" i="20"/>
  <c r="M43" i="20"/>
  <c r="L43" i="20"/>
  <c r="K43" i="20"/>
  <c r="J43" i="20"/>
  <c r="I43" i="20"/>
  <c r="H43" i="20"/>
  <c r="G43" i="20"/>
  <c r="F43" i="20"/>
  <c r="P9" i="20"/>
  <c r="O9" i="20"/>
  <c r="N9" i="20"/>
  <c r="M9" i="20"/>
  <c r="L9" i="20"/>
  <c r="K9" i="20"/>
  <c r="J9" i="20"/>
  <c r="I9" i="20"/>
  <c r="H9" i="20"/>
  <c r="G9" i="20"/>
  <c r="F9" i="20"/>
  <c r="Q9" i="20"/>
  <c r="K31" i="18"/>
  <c r="K29" i="18"/>
  <c r="K28" i="18"/>
  <c r="K27" i="18"/>
  <c r="K26" i="18"/>
  <c r="K25" i="18"/>
  <c r="K24" i="18"/>
  <c r="K23" i="18"/>
  <c r="K22" i="18"/>
  <c r="K21" i="18"/>
  <c r="K20" i="18"/>
  <c r="K19" i="18"/>
  <c r="K18" i="18"/>
  <c r="K17" i="18"/>
  <c r="K16" i="18"/>
  <c r="K15" i="18"/>
  <c r="K14" i="18"/>
  <c r="K13" i="18"/>
  <c r="K12" i="18"/>
  <c r="K11" i="18"/>
  <c r="K10" i="18"/>
  <c r="K9" i="18"/>
  <c r="I62" i="33"/>
  <c r="D62" i="33"/>
  <c r="C83" i="17"/>
  <c r="C24" i="17"/>
  <c r="Q28" i="20"/>
  <c r="H28" i="20"/>
  <c r="I28" i="20"/>
  <c r="J28" i="20"/>
  <c r="K28" i="20"/>
  <c r="L28" i="20"/>
  <c r="M28" i="20"/>
  <c r="N28" i="20"/>
  <c r="O28" i="20"/>
  <c r="P28" i="20"/>
  <c r="G28" i="20"/>
  <c r="F28" i="20"/>
  <c r="E28" i="20"/>
  <c r="D58" i="20"/>
  <c r="D34" i="20"/>
  <c r="C20" i="34"/>
  <c r="C46" i="25"/>
  <c r="C76" i="9"/>
  <c r="C48" i="30"/>
  <c r="H42" i="30"/>
  <c r="G42" i="30"/>
  <c r="D42" i="30"/>
  <c r="E42" i="30"/>
  <c r="H7" i="18"/>
  <c r="G7" i="18"/>
  <c r="I18" i="33"/>
  <c r="C60" i="6"/>
  <c r="I8" i="25"/>
  <c r="G8" i="25"/>
  <c r="H8" i="25"/>
  <c r="F8" i="25"/>
  <c r="C74" i="31"/>
  <c r="C88" i="17"/>
  <c r="E43" i="20"/>
  <c r="E9" i="20"/>
  <c r="G73" i="11"/>
  <c r="F51" i="12"/>
  <c r="F49" i="12"/>
  <c r="F65" i="12"/>
  <c r="F41" i="12"/>
  <c r="F35" i="12"/>
  <c r="F34" i="12"/>
  <c r="F24" i="12"/>
  <c r="F22" i="12"/>
  <c r="F15" i="12"/>
  <c r="F10" i="12"/>
  <c r="F9" i="12"/>
  <c r="F32" i="12"/>
  <c r="F72" i="9"/>
  <c r="F71" i="9"/>
  <c r="F68" i="9"/>
  <c r="F70" i="9"/>
  <c r="F51" i="9"/>
  <c r="F49" i="9"/>
  <c r="F41" i="9"/>
  <c r="F35" i="9"/>
  <c r="F34" i="9"/>
  <c r="F30" i="9"/>
  <c r="F29" i="9"/>
  <c r="F28" i="9"/>
  <c r="F27" i="9"/>
  <c r="F26" i="9"/>
  <c r="F24" i="9"/>
  <c r="F25" i="9"/>
  <c r="F23" i="9"/>
  <c r="F21" i="9"/>
  <c r="F20" i="9"/>
  <c r="F19" i="9"/>
  <c r="F18" i="9"/>
  <c r="F17" i="9"/>
  <c r="F16" i="9"/>
  <c r="F15" i="9"/>
  <c r="F14" i="9"/>
  <c r="F13" i="9"/>
  <c r="F12" i="9"/>
  <c r="F11" i="9"/>
  <c r="F10" i="9"/>
  <c r="F44" i="7"/>
  <c r="F42" i="7"/>
  <c r="F56" i="7"/>
  <c r="F36" i="7"/>
  <c r="F30" i="7"/>
  <c r="F29" i="7"/>
  <c r="F21" i="7"/>
  <c r="F19" i="7"/>
  <c r="F14" i="7"/>
  <c r="F10" i="7"/>
  <c r="F9" i="7"/>
  <c r="F27" i="7"/>
  <c r="F43" i="8"/>
  <c r="F41" i="8"/>
  <c r="F55" i="8"/>
  <c r="F35" i="8"/>
  <c r="F29" i="8"/>
  <c r="F28" i="8"/>
  <c r="F20" i="8"/>
  <c r="F18" i="8"/>
  <c r="F13" i="8"/>
  <c r="F9" i="8"/>
  <c r="F8" i="8"/>
  <c r="F26" i="8"/>
  <c r="F51" i="11"/>
  <c r="F49" i="11"/>
  <c r="F65" i="11"/>
  <c r="F41" i="11"/>
  <c r="F35" i="11"/>
  <c r="F34" i="11"/>
  <c r="F32" i="11"/>
  <c r="F24" i="11"/>
  <c r="F22" i="11"/>
  <c r="F15" i="11"/>
  <c r="F10" i="11"/>
  <c r="F9" i="11"/>
  <c r="F59" i="12"/>
  <c r="F63" i="12"/>
  <c r="F61" i="12"/>
  <c r="F64" i="12"/>
  <c r="F59" i="9"/>
  <c r="F55" i="7"/>
  <c r="F50" i="7"/>
  <c r="F54" i="8"/>
  <c r="F49" i="8"/>
  <c r="F59" i="11"/>
  <c r="F63" i="11"/>
  <c r="F61" i="11"/>
  <c r="F64" i="11"/>
  <c r="G72" i="9"/>
  <c r="F73" i="12"/>
  <c r="F66" i="12"/>
  <c r="F63" i="9"/>
  <c r="F54" i="7"/>
  <c r="F52" i="7"/>
  <c r="F57" i="7"/>
  <c r="F53" i="8"/>
  <c r="F51" i="8"/>
  <c r="F56" i="8"/>
  <c r="F73" i="11"/>
  <c r="F66" i="11"/>
  <c r="F75" i="14"/>
  <c r="G75" i="14"/>
  <c r="G74" i="14"/>
  <c r="G36" i="14"/>
  <c r="G35" i="14"/>
  <c r="F36" i="14"/>
  <c r="F35" i="14"/>
  <c r="C28" i="4"/>
  <c r="C2" i="36"/>
  <c r="G130" i="37"/>
  <c r="G120" i="37"/>
  <c r="G107" i="37"/>
  <c r="G104" i="37"/>
  <c r="G94" i="37"/>
  <c r="G88" i="37"/>
  <c r="G81" i="37"/>
  <c r="G82" i="37"/>
  <c r="G78" i="37"/>
  <c r="G69" i="37"/>
  <c r="G65" i="37"/>
  <c r="G56" i="37"/>
  <c r="G43" i="37"/>
  <c r="G31" i="37"/>
  <c r="G27" i="37"/>
  <c r="G26" i="37"/>
  <c r="G20" i="37"/>
  <c r="G11" i="37"/>
  <c r="C4" i="37"/>
  <c r="C5" i="7"/>
  <c r="AH56" i="28"/>
  <c r="S75" i="28"/>
  <c r="S86" i="28"/>
  <c r="S85" i="28"/>
  <c r="S84" i="28"/>
  <c r="S83" i="28"/>
  <c r="S82" i="28"/>
  <c r="S81" i="28"/>
  <c r="S80" i="28"/>
  <c r="S79" i="28"/>
  <c r="S78" i="28"/>
  <c r="S77" i="28"/>
  <c r="S76" i="28"/>
  <c r="S74" i="28"/>
  <c r="S73" i="28"/>
  <c r="S72" i="28"/>
  <c r="S71" i="28"/>
  <c r="S70" i="28"/>
  <c r="S69" i="28"/>
  <c r="S68" i="28"/>
  <c r="S67" i="28"/>
  <c r="S66" i="28"/>
  <c r="S65" i="28"/>
  <c r="S64" i="28"/>
  <c r="S63" i="28"/>
  <c r="S62" i="28"/>
  <c r="S61" i="28"/>
  <c r="S60" i="28"/>
  <c r="S59" i="28"/>
  <c r="S58" i="28"/>
  <c r="S57" i="28"/>
  <c r="S56" i="28"/>
  <c r="C64" i="7"/>
  <c r="C72" i="10"/>
  <c r="G6" i="4"/>
  <c r="F6" i="4"/>
  <c r="E6" i="4"/>
  <c r="C97" i="33"/>
  <c r="C76" i="35"/>
  <c r="C94" i="33"/>
  <c r="C93" i="33"/>
  <c r="C92" i="33"/>
  <c r="C90" i="33"/>
  <c r="C72" i="35"/>
  <c r="C71" i="35"/>
  <c r="C70" i="35"/>
  <c r="C69" i="35"/>
  <c r="G33" i="30"/>
  <c r="G38" i="30"/>
  <c r="H33" i="30"/>
  <c r="H22" i="30"/>
  <c r="H15" i="30"/>
  <c r="H20" i="30"/>
  <c r="H7" i="30"/>
  <c r="H5" i="30"/>
  <c r="Q44" i="20"/>
  <c r="Q53" i="20"/>
  <c r="P44" i="20"/>
  <c r="P53" i="20"/>
  <c r="O44" i="20"/>
  <c r="O53" i="20"/>
  <c r="N44" i="20"/>
  <c r="N53" i="20"/>
  <c r="M44" i="20"/>
  <c r="M53" i="20"/>
  <c r="L44" i="20"/>
  <c r="L53" i="20"/>
  <c r="K44" i="20"/>
  <c r="K53" i="20"/>
  <c r="J44" i="20"/>
  <c r="J53" i="20"/>
  <c r="I44" i="20"/>
  <c r="I53" i="20"/>
  <c r="H44" i="20"/>
  <c r="H53" i="20"/>
  <c r="G44" i="20"/>
  <c r="G53" i="20"/>
  <c r="F44" i="20"/>
  <c r="F53" i="20"/>
  <c r="E44" i="20"/>
  <c r="E53" i="20"/>
  <c r="E14" i="33"/>
  <c r="C23" i="15"/>
  <c r="H23" i="15"/>
  <c r="C28" i="20"/>
  <c r="D71" i="9"/>
  <c r="D68" i="9"/>
  <c r="D70" i="9"/>
  <c r="I54" i="33"/>
  <c r="C85" i="17"/>
  <c r="F68" i="17"/>
  <c r="D49" i="35"/>
  <c r="D25" i="35"/>
  <c r="E71" i="33"/>
  <c r="I74" i="33"/>
  <c r="C74" i="33"/>
  <c r="D74" i="33"/>
  <c r="Q30" i="6"/>
  <c r="Q29" i="6"/>
  <c r="E25" i="25"/>
  <c r="Q42" i="6"/>
  <c r="K30" i="6"/>
  <c r="K42" i="6"/>
  <c r="P30" i="6"/>
  <c r="P42" i="6"/>
  <c r="J100" i="6"/>
  <c r="J30" i="6"/>
  <c r="J29" i="6"/>
  <c r="J42" i="6"/>
  <c r="O30" i="6"/>
  <c r="O29" i="6"/>
  <c r="O42" i="6"/>
  <c r="I30" i="6"/>
  <c r="I29" i="6"/>
  <c r="I42" i="6"/>
  <c r="I100" i="6"/>
  <c r="N30" i="6"/>
  <c r="N29" i="6"/>
  <c r="N42" i="6"/>
  <c r="H30" i="6"/>
  <c r="H29" i="6"/>
  <c r="H42" i="6"/>
  <c r="N100" i="6"/>
  <c r="M30" i="6"/>
  <c r="M29" i="6"/>
  <c r="M42" i="6"/>
  <c r="G30" i="6"/>
  <c r="G88" i="6"/>
  <c r="G42" i="6"/>
  <c r="Q100" i="6"/>
  <c r="Q19" i="6"/>
  <c r="K19" i="6"/>
  <c r="K77" i="6"/>
  <c r="D17" i="25"/>
  <c r="P19" i="6"/>
  <c r="J19" i="6"/>
  <c r="P77" i="6"/>
  <c r="O19" i="6"/>
  <c r="I19" i="6"/>
  <c r="N19" i="6"/>
  <c r="N55" i="6"/>
  <c r="H19" i="6"/>
  <c r="H77" i="6"/>
  <c r="M19" i="6"/>
  <c r="G77" i="6"/>
  <c r="G19" i="6"/>
  <c r="I10" i="6"/>
  <c r="I9" i="6"/>
  <c r="O67" i="6"/>
  <c r="O10" i="6"/>
  <c r="I68" i="6"/>
  <c r="M10" i="6"/>
  <c r="G68" i="6"/>
  <c r="G10" i="6"/>
  <c r="N10" i="6"/>
  <c r="H68" i="6"/>
  <c r="H10" i="6"/>
  <c r="H9" i="6"/>
  <c r="P10" i="6"/>
  <c r="P9" i="6"/>
  <c r="J10" i="6"/>
  <c r="K10" i="6"/>
  <c r="K9" i="6"/>
  <c r="Q10" i="6"/>
  <c r="E42" i="6"/>
  <c r="E30" i="6"/>
  <c r="E29" i="6"/>
  <c r="E19" i="6"/>
  <c r="E10" i="6"/>
  <c r="E9" i="6"/>
  <c r="E55" i="6"/>
  <c r="Q74" i="6"/>
  <c r="Q104" i="6"/>
  <c r="Q81" i="6"/>
  <c r="K74" i="6"/>
  <c r="K81" i="6"/>
  <c r="K104" i="6"/>
  <c r="K96" i="6"/>
  <c r="Q96" i="6"/>
  <c r="P93" i="6"/>
  <c r="J93" i="6"/>
  <c r="P72" i="6"/>
  <c r="J72" i="6"/>
  <c r="J83" i="6"/>
  <c r="P90" i="6"/>
  <c r="J90" i="6"/>
  <c r="J79" i="6"/>
  <c r="P79" i="6"/>
  <c r="J102" i="6"/>
  <c r="P102" i="6"/>
  <c r="J99" i="6"/>
  <c r="P71" i="6"/>
  <c r="J71" i="6"/>
  <c r="P70" i="6"/>
  <c r="J70" i="6"/>
  <c r="J106" i="6"/>
  <c r="J92" i="6"/>
  <c r="P92" i="6"/>
  <c r="J91" i="6"/>
  <c r="P91" i="6"/>
  <c r="J98" i="6"/>
  <c r="P98" i="6"/>
  <c r="P89" i="6"/>
  <c r="J89" i="6"/>
  <c r="J94" i="6"/>
  <c r="P94" i="6"/>
  <c r="J105" i="6"/>
  <c r="P105" i="6"/>
  <c r="J82" i="6"/>
  <c r="P82" i="6"/>
  <c r="J75" i="6"/>
  <c r="P75" i="6"/>
  <c r="J97" i="6"/>
  <c r="P97" i="6"/>
  <c r="J69" i="6"/>
  <c r="P69" i="6"/>
  <c r="J76" i="6"/>
  <c r="G81" i="6"/>
  <c r="M81" i="6"/>
  <c r="J104" i="6"/>
  <c r="P104" i="6"/>
  <c r="H96" i="6"/>
  <c r="N96" i="6"/>
  <c r="P74" i="6"/>
  <c r="J74" i="6"/>
  <c r="P81" i="6"/>
  <c r="J81" i="6"/>
  <c r="N104" i="6"/>
  <c r="H104" i="6"/>
  <c r="I81" i="6"/>
  <c r="O81" i="6"/>
  <c r="N74" i="6"/>
  <c r="H74" i="6"/>
  <c r="G104" i="6"/>
  <c r="M104" i="6"/>
  <c r="J96" i="6"/>
  <c r="P96" i="6"/>
  <c r="M96" i="6"/>
  <c r="G96" i="6"/>
  <c r="N81" i="6"/>
  <c r="H81" i="6"/>
  <c r="G74" i="6"/>
  <c r="M74" i="6"/>
  <c r="P80" i="6"/>
  <c r="J80" i="6"/>
  <c r="O104" i="6"/>
  <c r="I104" i="6"/>
  <c r="P103" i="6"/>
  <c r="J103" i="6"/>
  <c r="J95" i="6"/>
  <c r="P95" i="6"/>
  <c r="I96" i="6"/>
  <c r="O96" i="6"/>
  <c r="J73" i="6"/>
  <c r="P73" i="6"/>
  <c r="I74" i="6"/>
  <c r="O74" i="6"/>
  <c r="P78" i="6"/>
  <c r="J78" i="6"/>
  <c r="P55" i="6"/>
  <c r="P101" i="6"/>
  <c r="J101" i="6"/>
  <c r="I72" i="6"/>
  <c r="O72" i="6"/>
  <c r="I102" i="6"/>
  <c r="O102" i="6"/>
  <c r="I99" i="6"/>
  <c r="I92" i="6"/>
  <c r="O92" i="6"/>
  <c r="I106" i="6"/>
  <c r="O91" i="6"/>
  <c r="I91" i="6"/>
  <c r="I93" i="6"/>
  <c r="O93" i="6"/>
  <c r="O90" i="6"/>
  <c r="I90" i="6"/>
  <c r="I89" i="6"/>
  <c r="O89" i="6"/>
  <c r="O70" i="6"/>
  <c r="I70" i="6"/>
  <c r="O71" i="6"/>
  <c r="I71" i="6"/>
  <c r="I83" i="6"/>
  <c r="I69" i="6"/>
  <c r="O69" i="6"/>
  <c r="I79" i="6"/>
  <c r="O79" i="6"/>
  <c r="O98" i="6"/>
  <c r="I98" i="6"/>
  <c r="I94" i="6"/>
  <c r="O94" i="6"/>
  <c r="I77" i="6"/>
  <c r="I76" i="6"/>
  <c r="I105" i="6"/>
  <c r="O105" i="6"/>
  <c r="I103" i="6"/>
  <c r="O103" i="6"/>
  <c r="I101" i="6"/>
  <c r="O101" i="6"/>
  <c r="I75" i="6"/>
  <c r="O75" i="6"/>
  <c r="O97" i="6"/>
  <c r="I97" i="6"/>
  <c r="I73" i="6"/>
  <c r="O73" i="6"/>
  <c r="O95" i="6"/>
  <c r="I95" i="6"/>
  <c r="O55" i="6"/>
  <c r="O82" i="6"/>
  <c r="I82" i="6"/>
  <c r="O80" i="6"/>
  <c r="I80" i="6"/>
  <c r="I78" i="6"/>
  <c r="O78" i="6"/>
  <c r="K55" i="6"/>
  <c r="G82" i="6"/>
  <c r="M82" i="6"/>
  <c r="G89" i="6"/>
  <c r="M89" i="6"/>
  <c r="G91" i="6"/>
  <c r="M91" i="6"/>
  <c r="G97" i="6"/>
  <c r="M97" i="6"/>
  <c r="H82" i="6"/>
  <c r="N82" i="6"/>
  <c r="N94" i="6"/>
  <c r="H94" i="6"/>
  <c r="H83" i="6"/>
  <c r="N75" i="6"/>
  <c r="H75" i="6"/>
  <c r="G83" i="6"/>
  <c r="N70" i="6"/>
  <c r="H70" i="6"/>
  <c r="G75" i="6"/>
  <c r="M75" i="6"/>
  <c r="N89" i="6"/>
  <c r="H89" i="6"/>
  <c r="M94" i="6"/>
  <c r="G94" i="6"/>
  <c r="N90" i="6"/>
  <c r="H90" i="6"/>
  <c r="N105" i="6"/>
  <c r="H105" i="6"/>
  <c r="M90" i="6"/>
  <c r="G90" i="6"/>
  <c r="M79" i="6"/>
  <c r="G79" i="6"/>
  <c r="G106" i="6"/>
  <c r="M102" i="6"/>
  <c r="G102" i="6"/>
  <c r="H106" i="6"/>
  <c r="G99" i="6"/>
  <c r="M72" i="6"/>
  <c r="G72" i="6"/>
  <c r="M71" i="6"/>
  <c r="G71" i="6"/>
  <c r="N92" i="6"/>
  <c r="H92" i="6"/>
  <c r="G92" i="6"/>
  <c r="M92" i="6"/>
  <c r="H99" i="6"/>
  <c r="H91" i="6"/>
  <c r="N91" i="6"/>
  <c r="H97" i="6"/>
  <c r="N97" i="6"/>
  <c r="G105" i="6"/>
  <c r="M105" i="6"/>
  <c r="N79" i="6"/>
  <c r="H79" i="6"/>
  <c r="G70" i="6"/>
  <c r="M70" i="6"/>
  <c r="N71" i="6"/>
  <c r="H71" i="6"/>
  <c r="H72" i="6"/>
  <c r="N72" i="6"/>
  <c r="N102" i="6"/>
  <c r="H102" i="6"/>
  <c r="G69" i="6"/>
  <c r="M69" i="6"/>
  <c r="G93" i="6"/>
  <c r="M93" i="6"/>
  <c r="G98" i="6"/>
  <c r="M98" i="6"/>
  <c r="H93" i="6"/>
  <c r="N93" i="6"/>
  <c r="H76" i="6"/>
  <c r="H69" i="6"/>
  <c r="N69" i="6"/>
  <c r="N98" i="6"/>
  <c r="H98" i="6"/>
  <c r="N73" i="6"/>
  <c r="H73" i="6"/>
  <c r="G73" i="6"/>
  <c r="M73" i="6"/>
  <c r="K72" i="6"/>
  <c r="Q72" i="6"/>
  <c r="H100" i="6"/>
  <c r="H80" i="6"/>
  <c r="N80" i="6"/>
  <c r="G76" i="6"/>
  <c r="N78" i="6"/>
  <c r="H78" i="6"/>
  <c r="G103" i="6"/>
  <c r="M103" i="6"/>
  <c r="N95" i="6"/>
  <c r="H95" i="6"/>
  <c r="H103" i="6"/>
  <c r="N103" i="6"/>
  <c r="G95" i="6"/>
  <c r="M95" i="6"/>
  <c r="M80" i="6"/>
  <c r="G80" i="6"/>
  <c r="M88" i="6"/>
  <c r="M78" i="6"/>
  <c r="G78" i="6"/>
  <c r="M55" i="6"/>
  <c r="G101" i="6"/>
  <c r="M101" i="6"/>
  <c r="N101" i="6"/>
  <c r="H101" i="6"/>
  <c r="Q98" i="6"/>
  <c r="K98" i="6"/>
  <c r="K99" i="6"/>
  <c r="K91" i="6"/>
  <c r="Q91" i="6"/>
  <c r="K90" i="6"/>
  <c r="Q90" i="6"/>
  <c r="K93" i="6"/>
  <c r="Q93" i="6"/>
  <c r="Q94" i="6"/>
  <c r="K94" i="6"/>
  <c r="K92" i="6"/>
  <c r="Q92" i="6"/>
  <c r="K106" i="6"/>
  <c r="K102" i="6"/>
  <c r="Q102" i="6"/>
  <c r="K105" i="6"/>
  <c r="Q105" i="6"/>
  <c r="Q97" i="6"/>
  <c r="K97" i="6"/>
  <c r="Q89" i="6"/>
  <c r="K89" i="6"/>
  <c r="K83" i="6"/>
  <c r="K70" i="6"/>
  <c r="Q70" i="6"/>
  <c r="K95" i="6"/>
  <c r="Q95" i="6"/>
  <c r="K88" i="6"/>
  <c r="K71" i="6"/>
  <c r="Q71" i="6"/>
  <c r="K103" i="6"/>
  <c r="Q103" i="6"/>
  <c r="K101" i="6"/>
  <c r="Q101" i="6"/>
  <c r="K82" i="6"/>
  <c r="Q82" i="6"/>
  <c r="Q75" i="6"/>
  <c r="K75" i="6"/>
  <c r="K69" i="6"/>
  <c r="Q69" i="6"/>
  <c r="K80" i="6"/>
  <c r="Q80" i="6"/>
  <c r="Q73" i="6"/>
  <c r="K73" i="6"/>
  <c r="Q79" i="6"/>
  <c r="K79" i="6"/>
  <c r="Q55" i="6"/>
  <c r="K113" i="6"/>
  <c r="K78" i="6"/>
  <c r="Q78" i="6"/>
  <c r="K76" i="6"/>
  <c r="C29" i="35"/>
  <c r="C54" i="33"/>
  <c r="D54" i="33"/>
  <c r="H42" i="14"/>
  <c r="C42" i="14"/>
  <c r="G163" i="37"/>
  <c r="R28" i="20"/>
  <c r="G70" i="9"/>
  <c r="G71" i="9"/>
  <c r="G68" i="9"/>
  <c r="F9" i="15"/>
  <c r="G9" i="15"/>
  <c r="C172" i="37"/>
  <c r="E106" i="37"/>
  <c r="F107" i="37"/>
  <c r="T56" i="28"/>
  <c r="C506" i="36"/>
  <c r="C503" i="36"/>
  <c r="C14" i="18"/>
  <c r="C83" i="28"/>
  <c r="AH83" i="28"/>
  <c r="T83" i="28"/>
  <c r="D83" i="28"/>
  <c r="S9" i="28"/>
  <c r="D120" i="27"/>
  <c r="I84" i="33"/>
  <c r="I83" i="33"/>
  <c r="I82" i="33"/>
  <c r="I81" i="33"/>
  <c r="I80" i="33"/>
  <c r="I79" i="33"/>
  <c r="I78" i="33"/>
  <c r="I85" i="33"/>
  <c r="I73" i="33"/>
  <c r="I72" i="33"/>
  <c r="I67" i="33"/>
  <c r="I66" i="33"/>
  <c r="I65" i="33"/>
  <c r="I64" i="33"/>
  <c r="I63" i="33"/>
  <c r="I61" i="33"/>
  <c r="I60" i="33"/>
  <c r="I59" i="33"/>
  <c r="I58" i="33"/>
  <c r="I57" i="33"/>
  <c r="I56" i="33"/>
  <c r="I55"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7" i="33"/>
  <c r="I16" i="33"/>
  <c r="G142" i="37"/>
  <c r="G4" i="37"/>
  <c r="C27" i="4"/>
  <c r="C2" i="37"/>
  <c r="G137" i="37"/>
  <c r="G138" i="37"/>
  <c r="G144" i="37"/>
  <c r="F144" i="37"/>
  <c r="G6" i="37"/>
  <c r="F6" i="37"/>
  <c r="S37" i="28"/>
  <c r="S27" i="28"/>
  <c r="S15" i="28"/>
  <c r="S10" i="28"/>
  <c r="C170" i="37"/>
  <c r="C17" i="19"/>
  <c r="C38" i="19"/>
  <c r="E6" i="19"/>
  <c r="E6" i="18"/>
  <c r="C8" i="4"/>
  <c r="C9" i="4"/>
  <c r="C10" i="4"/>
  <c r="C12" i="4"/>
  <c r="C14" i="4"/>
  <c r="C131" i="37"/>
  <c r="C162" i="37"/>
  <c r="C71" i="37"/>
  <c r="C154" i="37"/>
  <c r="F137" i="37"/>
  <c r="F130" i="37"/>
  <c r="F120" i="37"/>
  <c r="F104" i="37"/>
  <c r="F94" i="37"/>
  <c r="F88" i="37"/>
  <c r="F81" i="37"/>
  <c r="F82" i="37"/>
  <c r="F78" i="37"/>
  <c r="F69" i="37"/>
  <c r="F65" i="37"/>
  <c r="F56" i="37"/>
  <c r="F43" i="37"/>
  <c r="F31" i="37"/>
  <c r="F26" i="37"/>
  <c r="F20" i="37"/>
  <c r="F11" i="37"/>
  <c r="E109" i="37"/>
  <c r="E131" i="37"/>
  <c r="E136" i="37"/>
  <c r="E132" i="37"/>
  <c r="E133" i="37"/>
  <c r="E134" i="37"/>
  <c r="E135" i="37"/>
  <c r="D131" i="37"/>
  <c r="D162" i="37"/>
  <c r="E127" i="37"/>
  <c r="E129" i="37"/>
  <c r="D121" i="37"/>
  <c r="E118" i="37"/>
  <c r="E110" i="37"/>
  <c r="D109" i="37"/>
  <c r="E120" i="37"/>
  <c r="D105" i="37"/>
  <c r="D159" i="37"/>
  <c r="D96" i="37"/>
  <c r="D158" i="37"/>
  <c r="D90" i="37"/>
  <c r="E94" i="37"/>
  <c r="D83" i="37"/>
  <c r="D156" i="37"/>
  <c r="E82" i="37"/>
  <c r="E79" i="37"/>
  <c r="E80" i="37"/>
  <c r="D79" i="37"/>
  <c r="D155" i="37"/>
  <c r="E71" i="37"/>
  <c r="E72" i="37"/>
  <c r="E73" i="37"/>
  <c r="E74" i="37"/>
  <c r="E75" i="37"/>
  <c r="E76" i="37"/>
  <c r="E77" i="37"/>
  <c r="D71" i="37"/>
  <c r="D154" i="37"/>
  <c r="D70" i="37"/>
  <c r="D66" i="37"/>
  <c r="D153" i="37"/>
  <c r="D57" i="37"/>
  <c r="E65" i="37"/>
  <c r="E64" i="37"/>
  <c r="E63" i="37"/>
  <c r="E62" i="37"/>
  <c r="E61" i="37"/>
  <c r="E60" i="37"/>
  <c r="E59" i="37"/>
  <c r="E58" i="37"/>
  <c r="E57" i="37"/>
  <c r="C57" i="37"/>
  <c r="C152" i="37"/>
  <c r="E55" i="37"/>
  <c r="E54" i="37"/>
  <c r="D44" i="37"/>
  <c r="D151" i="37"/>
  <c r="D32" i="37"/>
  <c r="D150" i="37"/>
  <c r="D28" i="37"/>
  <c r="D149" i="37"/>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c r="E119" i="37"/>
  <c r="E117" i="37"/>
  <c r="E116" i="37"/>
  <c r="E115" i="37"/>
  <c r="E114" i="37"/>
  <c r="E113" i="37"/>
  <c r="E112" i="37"/>
  <c r="E111" i="37"/>
  <c r="C109" i="37"/>
  <c r="C160" i="37"/>
  <c r="E108" i="37"/>
  <c r="E105" i="37"/>
  <c r="C105" i="37"/>
  <c r="C159" i="37"/>
  <c r="E103" i="37"/>
  <c r="E102" i="37"/>
  <c r="E101" i="37"/>
  <c r="E100" i="37"/>
  <c r="E99" i="37"/>
  <c r="E98" i="37"/>
  <c r="E97" i="37"/>
  <c r="E96" i="37"/>
  <c r="C96" i="37"/>
  <c r="C158" i="37"/>
  <c r="E95" i="37"/>
  <c r="E93" i="37"/>
  <c r="E92" i="37"/>
  <c r="E91" i="37"/>
  <c r="E90" i="37"/>
  <c r="C90" i="37"/>
  <c r="C157" i="37"/>
  <c r="E89" i="37"/>
  <c r="E87" i="37"/>
  <c r="E86" i="37"/>
  <c r="E85" i="37"/>
  <c r="E84" i="37"/>
  <c r="E83" i="37"/>
  <c r="C83" i="37"/>
  <c r="C156" i="37"/>
  <c r="C79" i="37"/>
  <c r="C155" i="37"/>
  <c r="E53" i="37"/>
  <c r="E52" i="37"/>
  <c r="E51" i="37"/>
  <c r="E50" i="37"/>
  <c r="E49" i="37"/>
  <c r="E48" i="37"/>
  <c r="E47" i="37"/>
  <c r="E46" i="37"/>
  <c r="E45" i="37"/>
  <c r="E44" i="37"/>
  <c r="C44" i="37"/>
  <c r="C151" i="37"/>
  <c r="E42" i="37"/>
  <c r="E41" i="37"/>
  <c r="E40" i="37"/>
  <c r="E39" i="37"/>
  <c r="E38" i="37"/>
  <c r="E37" i="37"/>
  <c r="E36" i="37"/>
  <c r="E35" i="37"/>
  <c r="E34" i="37"/>
  <c r="E33" i="37"/>
  <c r="E32" i="37"/>
  <c r="C32" i="37"/>
  <c r="C150" i="37"/>
  <c r="E70" i="37"/>
  <c r="E68" i="37"/>
  <c r="E67" i="37"/>
  <c r="E66" i="37"/>
  <c r="C66" i="37"/>
  <c r="C153" i="37"/>
  <c r="E30" i="37"/>
  <c r="E29" i="37"/>
  <c r="E28" i="37"/>
  <c r="C28" i="37"/>
  <c r="C149" i="37"/>
  <c r="E22" i="37"/>
  <c r="E21" i="37"/>
  <c r="D21" i="37"/>
  <c r="E27" i="37"/>
  <c r="C21" i="37"/>
  <c r="C148" i="37"/>
  <c r="E15" i="37"/>
  <c r="E13" i="37"/>
  <c r="E12" i="37"/>
  <c r="D12" i="37"/>
  <c r="D147" i="37"/>
  <c r="C12" i="37"/>
  <c r="C147" i="37"/>
  <c r="E10" i="37"/>
  <c r="E9" i="37"/>
  <c r="E8" i="37"/>
  <c r="D8" i="37"/>
  <c r="D146" i="37"/>
  <c r="C8" i="37"/>
  <c r="C146" i="37"/>
  <c r="E5" i="37"/>
  <c r="D5" i="37"/>
  <c r="C5" i="37"/>
  <c r="C142" i="37"/>
  <c r="C55" i="35"/>
  <c r="C45" i="33"/>
  <c r="R45" i="20"/>
  <c r="R46" i="20"/>
  <c r="R47" i="20"/>
  <c r="R48" i="20"/>
  <c r="R49" i="20"/>
  <c r="R50" i="20"/>
  <c r="D45" i="33"/>
  <c r="H50" i="14"/>
  <c r="H51" i="14"/>
  <c r="G47" i="15"/>
  <c r="H47" i="15"/>
  <c r="G45" i="15"/>
  <c r="H45" i="15"/>
  <c r="F47" i="15"/>
  <c r="F45" i="15"/>
  <c r="E47" i="15"/>
  <c r="E45" i="15"/>
  <c r="G10" i="10"/>
  <c r="I10" i="10"/>
  <c r="F10" i="10"/>
  <c r="D33" i="30"/>
  <c r="E33" i="30"/>
  <c r="E22" i="30"/>
  <c r="E15" i="30"/>
  <c r="E7"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8" i="28"/>
  <c r="AB27" i="28"/>
  <c r="AB26" i="28"/>
  <c r="AB21" i="28"/>
  <c r="AB20" i="28"/>
  <c r="AB19" i="28"/>
  <c r="AB18" i="28"/>
  <c r="AB16" i="28"/>
  <c r="AB17" i="28"/>
  <c r="AB15" i="28"/>
  <c r="AB14" i="28"/>
  <c r="AB13" i="28"/>
  <c r="AB12" i="28"/>
  <c r="AB11" i="28"/>
  <c r="AB10" i="28"/>
  <c r="AB9" i="28"/>
  <c r="E6" i="15"/>
  <c r="E6" i="14"/>
  <c r="E38" i="15"/>
  <c r="E32" i="15"/>
  <c r="E22" i="15"/>
  <c r="E20" i="15"/>
  <c r="E14" i="15"/>
  <c r="E9" i="15"/>
  <c r="E28" i="14"/>
  <c r="D14" i="14"/>
  <c r="E14" i="14"/>
  <c r="E6" i="13"/>
  <c r="E64" i="14"/>
  <c r="E68" i="14"/>
  <c r="E70" i="14"/>
  <c r="E36" i="14"/>
  <c r="E35" i="14"/>
  <c r="E34" i="14"/>
  <c r="E9" i="14"/>
  <c r="AB36" i="28"/>
  <c r="AB34" i="28"/>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c r="E14" i="7"/>
  <c r="E9" i="7"/>
  <c r="E55" i="7"/>
  <c r="E10" i="7"/>
  <c r="E6" i="12"/>
  <c r="E6" i="11"/>
  <c r="E51" i="12"/>
  <c r="E49" i="12"/>
  <c r="E41" i="12"/>
  <c r="E35" i="12"/>
  <c r="E34" i="12"/>
  <c r="E59" i="12"/>
  <c r="E63" i="12"/>
  <c r="E24" i="12"/>
  <c r="E22" i="12"/>
  <c r="E15" i="12"/>
  <c r="E10" i="12"/>
  <c r="E9" i="12"/>
  <c r="E36" i="13"/>
  <c r="E30" i="13"/>
  <c r="E29" i="13"/>
  <c r="E45" i="13"/>
  <c r="E24" i="13"/>
  <c r="E17" i="13"/>
  <c r="E15" i="13"/>
  <c r="E11" i="13"/>
  <c r="E9" i="13"/>
  <c r="E29" i="7"/>
  <c r="E50" i="7"/>
  <c r="E54" i="7"/>
  <c r="S6" i="6"/>
  <c r="E6" i="9"/>
  <c r="E51" i="11"/>
  <c r="E49" i="11"/>
  <c r="E41" i="11"/>
  <c r="E34" i="11"/>
  <c r="E35" i="11"/>
  <c r="E24" i="11"/>
  <c r="E22" i="11"/>
  <c r="E15" i="11"/>
  <c r="E10" i="11"/>
  <c r="E72" i="9"/>
  <c r="E6" i="10"/>
  <c r="E71" i="9"/>
  <c r="E68" i="9"/>
  <c r="E70" i="9"/>
  <c r="E51" i="9"/>
  <c r="E49" i="9"/>
  <c r="E41" i="9"/>
  <c r="E35" i="9"/>
  <c r="E30" i="9"/>
  <c r="E29" i="9"/>
  <c r="E28" i="9"/>
  <c r="E27" i="9"/>
  <c r="E26" i="9"/>
  <c r="E25" i="9"/>
  <c r="E23" i="9"/>
  <c r="E21" i="9"/>
  <c r="E19" i="9"/>
  <c r="E18" i="9"/>
  <c r="E17" i="9"/>
  <c r="E16" i="9"/>
  <c r="E64" i="10"/>
  <c r="E54" i="10"/>
  <c r="E52" i="10"/>
  <c r="E45" i="10"/>
  <c r="E39" i="10"/>
  <c r="G39" i="10"/>
  <c r="E35" i="10"/>
  <c r="E20" i="9"/>
  <c r="E30" i="10"/>
  <c r="E24" i="10"/>
  <c r="E13" i="9"/>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c r="S50" i="6"/>
  <c r="S53" i="6"/>
  <c r="S42" i="6"/>
  <c r="S19" i="6"/>
  <c r="S10" i="6"/>
  <c r="S9" i="6"/>
  <c r="S8" i="6"/>
  <c r="D43" i="35"/>
  <c r="H14" i="33"/>
  <c r="G14" i="33"/>
  <c r="F14" i="33"/>
  <c r="D15" i="35"/>
  <c r="C36" i="33"/>
  <c r="C42" i="33"/>
  <c r="D42" i="33"/>
  <c r="F38" i="15"/>
  <c r="G38" i="15"/>
  <c r="F64" i="10"/>
  <c r="G64" i="10"/>
  <c r="I64" i="10"/>
  <c r="C92" i="17"/>
  <c r="H69" i="33"/>
  <c r="G69" i="33"/>
  <c r="D61" i="33"/>
  <c r="C61" i="33"/>
  <c r="C22" i="33"/>
  <c r="C33" i="33"/>
  <c r="C48" i="33"/>
  <c r="D22" i="33"/>
  <c r="C24" i="35"/>
  <c r="C26" i="33"/>
  <c r="D26" i="33"/>
  <c r="C35" i="7"/>
  <c r="AH71" i="28"/>
  <c r="D36" i="33"/>
  <c r="C50" i="35"/>
  <c r="C51" i="35"/>
  <c r="C31" i="33"/>
  <c r="C57" i="33"/>
  <c r="H71" i="33"/>
  <c r="G71" i="33"/>
  <c r="F71" i="33"/>
  <c r="C59" i="35"/>
  <c r="C44" i="33"/>
  <c r="D10" i="33"/>
  <c r="C10" i="33"/>
  <c r="C43" i="33"/>
  <c r="D43" i="33"/>
  <c r="C82" i="28"/>
  <c r="T82" i="28"/>
  <c r="AH57" i="28"/>
  <c r="T86" i="28"/>
  <c r="T85" i="28"/>
  <c r="T84" i="28"/>
  <c r="T81" i="28"/>
  <c r="T80" i="28"/>
  <c r="T33" i="28"/>
  <c r="T79" i="28"/>
  <c r="T78" i="28"/>
  <c r="T77" i="28"/>
  <c r="T76" i="28"/>
  <c r="T75" i="28"/>
  <c r="T74" i="28"/>
  <c r="T73" i="28"/>
  <c r="T72" i="28"/>
  <c r="T71" i="28"/>
  <c r="AH82" i="28"/>
  <c r="D82" i="28"/>
  <c r="C29" i="33"/>
  <c r="C28" i="35"/>
  <c r="D34" i="35"/>
  <c r="C41" i="33"/>
  <c r="C39" i="33"/>
  <c r="C80" i="33"/>
  <c r="D39" i="33"/>
  <c r="D29" i="33"/>
  <c r="D6" i="18"/>
  <c r="D72" i="9"/>
  <c r="D6" i="13"/>
  <c r="D6" i="12"/>
  <c r="D6" i="11"/>
  <c r="D6" i="10"/>
  <c r="D6" i="9"/>
  <c r="D5" i="8"/>
  <c r="D6" i="7"/>
  <c r="D6" i="14"/>
  <c r="D6" i="15"/>
  <c r="F6" i="15"/>
  <c r="C46" i="33"/>
  <c r="D44" i="33"/>
  <c r="E6" i="6"/>
  <c r="G34" i="14"/>
  <c r="F34" i="14"/>
  <c r="AH58" i="28"/>
  <c r="C23" i="35"/>
  <c r="I11" i="33"/>
  <c r="I12" i="33"/>
  <c r="I10" i="33"/>
  <c r="I9" i="33"/>
  <c r="C69" i="28"/>
  <c r="C78" i="28"/>
  <c r="AH69" i="28"/>
  <c r="T69" i="28"/>
  <c r="D69" i="28"/>
  <c r="AH78" i="28"/>
  <c r="D78" i="28"/>
  <c r="D57" i="33"/>
  <c r="D115" i="27"/>
  <c r="C74" i="28"/>
  <c r="C7" i="33"/>
  <c r="C2" i="33"/>
  <c r="C2" i="35"/>
  <c r="C17" i="14"/>
  <c r="G14" i="14"/>
  <c r="F14" i="14"/>
  <c r="F6" i="19"/>
  <c r="H6" i="19"/>
  <c r="N6" i="34"/>
  <c r="V74" i="28"/>
  <c r="G6" i="6"/>
  <c r="D6" i="25"/>
  <c r="F6" i="25"/>
  <c r="C12" i="35"/>
  <c r="C62" i="35"/>
  <c r="C72" i="33"/>
  <c r="D31" i="33"/>
  <c r="C66" i="35"/>
  <c r="C64" i="35"/>
  <c r="C61" i="35"/>
  <c r="F6" i="17"/>
  <c r="D6" i="17"/>
  <c r="D7" i="31"/>
  <c r="G7" i="31"/>
  <c r="J7" i="31"/>
  <c r="AH74" i="28"/>
  <c r="D74" i="28"/>
  <c r="R52" i="20"/>
  <c r="R27" i="20"/>
  <c r="R26" i="20"/>
  <c r="R25" i="20"/>
  <c r="R24" i="20"/>
  <c r="R23" i="20"/>
  <c r="R22" i="20"/>
  <c r="R21" i="20"/>
  <c r="R20" i="20"/>
  <c r="R19" i="20"/>
  <c r="R18" i="20"/>
  <c r="R17" i="20"/>
  <c r="R16" i="20"/>
  <c r="R15" i="20"/>
  <c r="R14" i="20"/>
  <c r="R13" i="20"/>
  <c r="R12" i="20"/>
  <c r="R11" i="20"/>
  <c r="R10" i="20"/>
  <c r="C4" i="36"/>
  <c r="C30" i="36"/>
  <c r="D72" i="33"/>
  <c r="D73" i="33"/>
  <c r="D66" i="33"/>
  <c r="D64" i="33"/>
  <c r="J6" i="18"/>
  <c r="C13" i="35"/>
  <c r="C63" i="35"/>
  <c r="C66" i="33"/>
  <c r="C75" i="33"/>
  <c r="C71" i="33"/>
  <c r="C11" i="35"/>
  <c r="D61" i="35"/>
  <c r="D64" i="35"/>
  <c r="C24" i="33"/>
  <c r="C44" i="35"/>
  <c r="C73" i="33"/>
  <c r="C64" i="33"/>
  <c r="D24" i="33"/>
  <c r="F14" i="15"/>
  <c r="G14" i="15"/>
  <c r="C12" i="33"/>
  <c r="D12" i="33"/>
  <c r="G30" i="10"/>
  <c r="H30" i="10"/>
  <c r="F30" i="10"/>
  <c r="C73" i="10"/>
  <c r="F54" i="10"/>
  <c r="G54" i="10"/>
  <c r="H54" i="10"/>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C68" i="35"/>
  <c r="C57" i="35"/>
  <c r="C52" i="35"/>
  <c r="C54" i="35"/>
  <c r="C53" i="35"/>
  <c r="C49" i="35"/>
  <c r="C48" i="35"/>
  <c r="C45" i="35"/>
  <c r="C47" i="35"/>
  <c r="C46" i="35"/>
  <c r="C43" i="35"/>
  <c r="C42" i="35"/>
  <c r="C38" i="35"/>
  <c r="C41" i="35"/>
  <c r="C39" i="35"/>
  <c r="C40" i="35"/>
  <c r="C37" i="35"/>
  <c r="C35" i="35"/>
  <c r="C36" i="35"/>
  <c r="C34" i="35"/>
  <c r="C33" i="35"/>
  <c r="C32" i="35"/>
  <c r="C30" i="35"/>
  <c r="C31"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7" i="33"/>
  <c r="C67" i="28"/>
  <c r="G9" i="28"/>
  <c r="H7" i="15"/>
  <c r="H7" i="14"/>
  <c r="I7" i="13"/>
  <c r="AH72" i="28"/>
  <c r="AH59" i="28"/>
  <c r="AH60" i="28"/>
  <c r="AH10" i="28"/>
  <c r="AH61" i="28"/>
  <c r="AH62" i="28"/>
  <c r="AH63" i="28"/>
  <c r="AH15" i="28"/>
  <c r="AH64" i="28"/>
  <c r="AH65" i="28"/>
  <c r="AH66" i="28"/>
  <c r="AH67" i="28"/>
  <c r="AH68" i="28"/>
  <c r="AH70" i="28"/>
  <c r="AH73" i="28"/>
  <c r="AH75" i="28"/>
  <c r="AH76" i="28"/>
  <c r="AH77" i="28"/>
  <c r="AH81" i="28"/>
  <c r="AH84" i="28"/>
  <c r="AH37" i="28"/>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31" i="15"/>
  <c r="D22" i="15"/>
  <c r="D20" i="15"/>
  <c r="D14" i="15"/>
  <c r="D9" i="15"/>
  <c r="D8" i="15"/>
  <c r="D64" i="14"/>
  <c r="D36" i="14"/>
  <c r="D35" i="14"/>
  <c r="D34" i="14"/>
  <c r="D68" i="14"/>
  <c r="D70" i="14"/>
  <c r="D75" i="14"/>
  <c r="D28" i="14"/>
  <c r="D9" i="14"/>
  <c r="D36" i="13"/>
  <c r="D30" i="13"/>
  <c r="D24" i="13"/>
  <c r="D17" i="13"/>
  <c r="D15" i="13"/>
  <c r="D14" i="13"/>
  <c r="D8" i="13"/>
  <c r="D27" i="13"/>
  <c r="D47" i="13"/>
  <c r="D51" i="13"/>
  <c r="D11" i="13"/>
  <c r="D9" i="13"/>
  <c r="D51" i="12"/>
  <c r="D49" i="12"/>
  <c r="D41" i="12"/>
  <c r="D34" i="12"/>
  <c r="D35" i="12"/>
  <c r="D24" i="12"/>
  <c r="D22" i="12"/>
  <c r="D15" i="12"/>
  <c r="D10" i="12"/>
  <c r="D9" i="12"/>
  <c r="D64" i="12"/>
  <c r="D29" i="13"/>
  <c r="D45" i="13"/>
  <c r="D32" i="14"/>
  <c r="D51" i="11"/>
  <c r="D49" i="11"/>
  <c r="D41" i="11"/>
  <c r="D35" i="11"/>
  <c r="D24" i="11"/>
  <c r="D22" i="11"/>
  <c r="D15" i="11"/>
  <c r="D9" i="11"/>
  <c r="D10" i="11"/>
  <c r="D51" i="9"/>
  <c r="D49" i="9"/>
  <c r="D41" i="9"/>
  <c r="D35" i="9"/>
  <c r="D34" i="9"/>
  <c r="D59" i="9"/>
  <c r="D63" i="9"/>
  <c r="D30" i="9"/>
  <c r="D29" i="9"/>
  <c r="D28" i="9"/>
  <c r="D27" i="9"/>
  <c r="D26" i="9"/>
  <c r="D25" i="9"/>
  <c r="D24" i="9"/>
  <c r="D23" i="9"/>
  <c r="D22" i="9"/>
  <c r="D65" i="9"/>
  <c r="D21" i="9"/>
  <c r="D19" i="9"/>
  <c r="D18" i="9"/>
  <c r="D17" i="9"/>
  <c r="D16" i="9"/>
  <c r="D64" i="10"/>
  <c r="D54" i="10"/>
  <c r="D52" i="10"/>
  <c r="D45" i="10"/>
  <c r="D39" i="10"/>
  <c r="D29" i="10"/>
  <c r="D28" i="10"/>
  <c r="D35" i="10"/>
  <c r="D30" i="10"/>
  <c r="D14" i="9"/>
  <c r="D24" i="10"/>
  <c r="D13" i="9"/>
  <c r="D14" i="10"/>
  <c r="D12" i="9"/>
  <c r="D10" i="10"/>
  <c r="D11" i="9"/>
  <c r="D10" i="9"/>
  <c r="D43" i="8"/>
  <c r="D41" i="8"/>
  <c r="D35" i="8"/>
  <c r="D29" i="8"/>
  <c r="D20" i="8"/>
  <c r="D18" i="8"/>
  <c r="D13" i="8"/>
  <c r="D8" i="8"/>
  <c r="D9" i="8"/>
  <c r="C76" i="11"/>
  <c r="C65" i="7"/>
  <c r="D44" i="7"/>
  <c r="D42" i="7"/>
  <c r="D36" i="7"/>
  <c r="D30" i="7"/>
  <c r="D21" i="7"/>
  <c r="D19" i="7"/>
  <c r="D14" i="7"/>
  <c r="D9" i="7"/>
  <c r="D27" i="7"/>
  <c r="D10" i="7"/>
  <c r="D9" i="10"/>
  <c r="D20" i="9"/>
  <c r="D29" i="7"/>
  <c r="D55" i="7"/>
  <c r="D55" i="8"/>
  <c r="D34" i="11"/>
  <c r="D28" i="8"/>
  <c r="D49" i="8"/>
  <c r="D53" i="8"/>
  <c r="D26" i="8"/>
  <c r="D51" i="8"/>
  <c r="D56" i="8"/>
  <c r="D54" i="8"/>
  <c r="F4" i="4"/>
  <c r="C73" i="28"/>
  <c r="C25" i="14"/>
  <c r="C24" i="14"/>
  <c r="C86" i="28"/>
  <c r="D50" i="33"/>
  <c r="C50" i="33"/>
  <c r="C12" i="25"/>
  <c r="C11" i="25"/>
  <c r="C108" i="6"/>
  <c r="C85" i="6"/>
  <c r="C50" i="6"/>
  <c r="C27" i="6"/>
  <c r="C39" i="25"/>
  <c r="C23" i="25"/>
  <c r="C47" i="25"/>
  <c r="AG27" i="28"/>
  <c r="R27" i="28"/>
  <c r="D73" i="28"/>
  <c r="C75" i="31"/>
  <c r="G22" i="15"/>
  <c r="F22" i="15"/>
  <c r="H25" i="14"/>
  <c r="F28" i="14"/>
  <c r="G28" i="14"/>
  <c r="H28" i="14"/>
  <c r="F17" i="13"/>
  <c r="G17" i="13"/>
  <c r="C63" i="28"/>
  <c r="T63" i="28"/>
  <c r="T62" i="28"/>
  <c r="D62" i="28"/>
  <c r="C62" i="28"/>
  <c r="S35" i="28"/>
  <c r="S31" i="28"/>
  <c r="S17" i="28"/>
  <c r="G45" i="10"/>
  <c r="I45" i="10"/>
  <c r="F45" i="10"/>
  <c r="R42" i="20"/>
  <c r="I8" i="33"/>
  <c r="D8" i="33"/>
  <c r="D270" i="27"/>
  <c r="G15" i="12"/>
  <c r="D559" i="27"/>
  <c r="D570" i="27"/>
  <c r="D95" i="27"/>
  <c r="D16" i="33"/>
  <c r="D17" i="33"/>
  <c r="C25" i="18"/>
  <c r="C23" i="18"/>
  <c r="C22" i="18"/>
  <c r="K27" i="28"/>
  <c r="L27" i="28"/>
  <c r="N27" i="28"/>
  <c r="O27" i="28"/>
  <c r="P27" i="28"/>
  <c r="D107" i="27"/>
  <c r="S38" i="28"/>
  <c r="G14" i="9"/>
  <c r="H14" i="9"/>
  <c r="D109" i="27"/>
  <c r="D49" i="33"/>
  <c r="C49" i="33"/>
  <c r="C4" i="4"/>
  <c r="AH28" i="28"/>
  <c r="T28" i="28"/>
  <c r="D75" i="28"/>
  <c r="G25" i="17"/>
  <c r="F25" i="17"/>
  <c r="C46" i="30"/>
  <c r="C34" i="33"/>
  <c r="D85" i="28"/>
  <c r="D41" i="33"/>
  <c r="T65" i="28"/>
  <c r="D65" i="28"/>
  <c r="C65" i="28"/>
  <c r="C75" i="15"/>
  <c r="M14" i="34"/>
  <c r="I14" i="34"/>
  <c r="L14" i="34"/>
  <c r="K14" i="34"/>
  <c r="J14" i="34"/>
  <c r="M15" i="34"/>
  <c r="I15" i="34"/>
  <c r="L15" i="34"/>
  <c r="J15" i="34"/>
  <c r="K15" i="34"/>
  <c r="N15" i="34"/>
  <c r="C2" i="34"/>
  <c r="O7" i="34"/>
  <c r="N7" i="34"/>
  <c r="L6" i="34"/>
  <c r="J6" i="34"/>
  <c r="H6" i="34"/>
  <c r="O5" i="34"/>
  <c r="C21" i="34"/>
  <c r="C18" i="34"/>
  <c r="C16" i="34"/>
  <c r="D15" i="34"/>
  <c r="D14" i="34"/>
  <c r="E13" i="34"/>
  <c r="G12" i="34"/>
  <c r="F11" i="34"/>
  <c r="F10" i="34"/>
  <c r="E9" i="34"/>
  <c r="D8" i="34"/>
  <c r="H85" i="33"/>
  <c r="G85" i="33"/>
  <c r="D80" i="33"/>
  <c r="S33" i="28"/>
  <c r="C87" i="33"/>
  <c r="C82" i="33"/>
  <c r="C81" i="33"/>
  <c r="C83" i="33"/>
  <c r="C78" i="33"/>
  <c r="C63" i="33"/>
  <c r="C65" i="33"/>
  <c r="C60" i="28"/>
  <c r="T60" i="28"/>
  <c r="D60" i="28"/>
  <c r="C84" i="33"/>
  <c r="D84" i="33"/>
  <c r="D82" i="33"/>
  <c r="D81" i="33"/>
  <c r="D83" i="33"/>
  <c r="D63" i="33"/>
  <c r="C25" i="33"/>
  <c r="D25" i="33"/>
  <c r="D15" i="30"/>
  <c r="D67" i="33"/>
  <c r="D65" i="33"/>
  <c r="D60" i="33"/>
  <c r="D59" i="33"/>
  <c r="D58" i="33"/>
  <c r="D56" i="33"/>
  <c r="D55" i="33"/>
  <c r="D48" i="33"/>
  <c r="D52" i="33"/>
  <c r="D51" i="33"/>
  <c r="D53" i="33"/>
  <c r="D38" i="33"/>
  <c r="D46" i="33"/>
  <c r="D40" i="33"/>
  <c r="D35" i="33"/>
  <c r="D34" i="33"/>
  <c r="D30" i="33"/>
  <c r="D37" i="33"/>
  <c r="D27" i="33"/>
  <c r="D28" i="33"/>
  <c r="D32" i="33"/>
  <c r="D47" i="33"/>
  <c r="D33" i="33"/>
  <c r="D23" i="33"/>
  <c r="D21" i="33"/>
  <c r="D19" i="33"/>
  <c r="D20" i="33"/>
  <c r="G10" i="28"/>
  <c r="AH35" i="28"/>
  <c r="T35" i="28"/>
  <c r="D81" i="28"/>
  <c r="C67" i="33"/>
  <c r="C60" i="33"/>
  <c r="C59" i="33"/>
  <c r="C58" i="33"/>
  <c r="C56" i="33"/>
  <c r="C55" i="33"/>
  <c r="C52" i="33"/>
  <c r="C51" i="33"/>
  <c r="C53" i="33"/>
  <c r="C38" i="33"/>
  <c r="C40" i="33"/>
  <c r="C35" i="33"/>
  <c r="C30" i="33"/>
  <c r="C27" i="33"/>
  <c r="C28" i="33"/>
  <c r="C32" i="33"/>
  <c r="C47" i="33"/>
  <c r="C23" i="33"/>
  <c r="C21" i="33"/>
  <c r="C19" i="33"/>
  <c r="C20" i="33"/>
  <c r="C16" i="33"/>
  <c r="C17" i="33"/>
  <c r="C89" i="33"/>
  <c r="D79" i="33"/>
  <c r="D78" i="33"/>
  <c r="C77" i="33"/>
  <c r="C85" i="33"/>
  <c r="C79" i="33"/>
  <c r="C11" i="33"/>
  <c r="M8" i="31"/>
  <c r="L8" i="31"/>
  <c r="I8" i="31"/>
  <c r="F8" i="31"/>
  <c r="H11" i="14"/>
  <c r="H10" i="14"/>
  <c r="C21" i="14"/>
  <c r="C20" i="14"/>
  <c r="G64" i="14"/>
  <c r="F64" i="14"/>
  <c r="F9" i="14"/>
  <c r="G9" i="14"/>
  <c r="H66" i="14"/>
  <c r="H65" i="14"/>
  <c r="H63" i="14"/>
  <c r="H62" i="14"/>
  <c r="H61" i="14"/>
  <c r="H59" i="14"/>
  <c r="H58" i="14"/>
  <c r="H57" i="14"/>
  <c r="H56" i="14"/>
  <c r="H55" i="14"/>
  <c r="H54" i="14"/>
  <c r="H53" i="14"/>
  <c r="H52" i="14"/>
  <c r="H49" i="14"/>
  <c r="H48" i="14"/>
  <c r="H47" i="14"/>
  <c r="H46" i="14"/>
  <c r="H45" i="14"/>
  <c r="H44" i="14"/>
  <c r="H43" i="14"/>
  <c r="H41" i="14"/>
  <c r="H40" i="14"/>
  <c r="H39" i="14"/>
  <c r="H38" i="14"/>
  <c r="H37" i="14"/>
  <c r="H30" i="14"/>
  <c r="H29" i="14"/>
  <c r="H27" i="14"/>
  <c r="H26" i="14"/>
  <c r="H24" i="14"/>
  <c r="H23" i="14"/>
  <c r="H22" i="14"/>
  <c r="H21" i="14"/>
  <c r="H20" i="14"/>
  <c r="H19" i="14"/>
  <c r="H18" i="14"/>
  <c r="H17" i="14"/>
  <c r="H16" i="14"/>
  <c r="H15" i="14"/>
  <c r="H12" i="14"/>
  <c r="G32" i="15"/>
  <c r="F32" i="15"/>
  <c r="H32" i="15"/>
  <c r="H52" i="15"/>
  <c r="H51" i="15"/>
  <c r="H50" i="15"/>
  <c r="H49" i="15"/>
  <c r="H48" i="15"/>
  <c r="H46" i="15"/>
  <c r="H44" i="15"/>
  <c r="H43" i="15"/>
  <c r="H42" i="15"/>
  <c r="H41" i="15"/>
  <c r="H40" i="15"/>
  <c r="H39" i="15"/>
  <c r="H37" i="15"/>
  <c r="H36" i="15"/>
  <c r="H35" i="15"/>
  <c r="H34" i="15"/>
  <c r="H33" i="15"/>
  <c r="H27" i="15"/>
  <c r="H26" i="15"/>
  <c r="H25" i="15"/>
  <c r="H24" i="15"/>
  <c r="H21" i="15"/>
  <c r="H19" i="15"/>
  <c r="H18" i="15"/>
  <c r="H17" i="15"/>
  <c r="H16" i="15"/>
  <c r="H15" i="15"/>
  <c r="H13" i="15"/>
  <c r="H12" i="15"/>
  <c r="H11" i="15"/>
  <c r="H10" i="15"/>
  <c r="H7" i="25"/>
  <c r="F7" i="25"/>
  <c r="C71" i="10"/>
  <c r="I7" i="12"/>
  <c r="I7" i="11"/>
  <c r="I7" i="9"/>
  <c r="I6" i="8"/>
  <c r="C63" i="7"/>
  <c r="F7" i="17"/>
  <c r="H7" i="19"/>
  <c r="D6" i="19"/>
  <c r="C72" i="28"/>
  <c r="C88" i="11"/>
  <c r="C90" i="17"/>
  <c r="J6" i="25"/>
  <c r="D28" i="25"/>
  <c r="D37" i="25"/>
  <c r="E36" i="25"/>
  <c r="G36" i="25"/>
  <c r="I36" i="25"/>
  <c r="D36" i="25"/>
  <c r="E35" i="25"/>
  <c r="G35" i="25"/>
  <c r="I35" i="25"/>
  <c r="D35" i="25"/>
  <c r="E34" i="25"/>
  <c r="D34" i="25"/>
  <c r="D32" i="25"/>
  <c r="E31" i="25"/>
  <c r="D31" i="25"/>
  <c r="D30" i="25"/>
  <c r="E29" i="25"/>
  <c r="G29" i="25"/>
  <c r="D29" i="25"/>
  <c r="D27" i="25"/>
  <c r="D21" i="25"/>
  <c r="E21" i="25"/>
  <c r="E20" i="25"/>
  <c r="G20" i="25"/>
  <c r="I20" i="25"/>
  <c r="D20" i="25"/>
  <c r="E19" i="25"/>
  <c r="G19" i="25"/>
  <c r="I19" i="25"/>
  <c r="D19" i="25"/>
  <c r="E18" i="25"/>
  <c r="G18" i="25"/>
  <c r="I18" i="25"/>
  <c r="D18" i="25"/>
  <c r="D16" i="25"/>
  <c r="D15" i="25"/>
  <c r="E14" i="25"/>
  <c r="G14" i="25"/>
  <c r="D14" i="25"/>
  <c r="E13" i="25"/>
  <c r="G13" i="25"/>
  <c r="D13" i="25"/>
  <c r="E12" i="25"/>
  <c r="D12" i="25"/>
  <c r="G12" i="25"/>
  <c r="I12" i="25"/>
  <c r="E11" i="25"/>
  <c r="G11" i="25"/>
  <c r="D11" i="25"/>
  <c r="E27" i="25"/>
  <c r="G27" i="25"/>
  <c r="E15" i="25"/>
  <c r="G15" i="25"/>
  <c r="E30" i="25"/>
  <c r="G30" i="25"/>
  <c r="E32" i="25"/>
  <c r="G32" i="25"/>
  <c r="E28" i="25"/>
  <c r="G28" i="25"/>
  <c r="E16" i="25"/>
  <c r="E37" i="25"/>
  <c r="G37" i="25"/>
  <c r="E33" i="25"/>
  <c r="G33" i="25"/>
  <c r="I33" i="25"/>
  <c r="C68" i="28"/>
  <c r="AH17" i="28"/>
  <c r="G11" i="13"/>
  <c r="G9" i="13"/>
  <c r="F11" i="13"/>
  <c r="G30" i="9"/>
  <c r="G29" i="9"/>
  <c r="G28" i="9"/>
  <c r="H28" i="9"/>
  <c r="G27" i="9"/>
  <c r="G26" i="9"/>
  <c r="G25" i="9"/>
  <c r="H25" i="9"/>
  <c r="G23" i="9"/>
  <c r="H23" i="9"/>
  <c r="G21" i="9"/>
  <c r="G19" i="9"/>
  <c r="H19" i="9"/>
  <c r="G18" i="9"/>
  <c r="G17" i="9"/>
  <c r="H17" i="9"/>
  <c r="G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c r="D7" i="30"/>
  <c r="D20" i="30"/>
  <c r="T57" i="28"/>
  <c r="T58" i="28"/>
  <c r="T59" i="28"/>
  <c r="T61" i="28"/>
  <c r="T10" i="28"/>
  <c r="T64" i="28"/>
  <c r="T66" i="28"/>
  <c r="T67" i="28"/>
  <c r="T68" i="28"/>
  <c r="T70" i="28"/>
  <c r="T17" i="28"/>
  <c r="T31" i="28"/>
  <c r="T37" i="28"/>
  <c r="T36" i="28"/>
  <c r="T38" i="28"/>
  <c r="AA33" i="28"/>
  <c r="Y33" i="28"/>
  <c r="I70" i="9"/>
  <c r="G52" i="10"/>
  <c r="H52" i="10"/>
  <c r="D33" i="20"/>
  <c r="D32" i="20"/>
  <c r="C8" i="20"/>
  <c r="R8" i="20"/>
  <c r="C10" i="20"/>
  <c r="D10" i="20"/>
  <c r="D11" i="20"/>
  <c r="D12" i="20"/>
  <c r="D13" i="20"/>
  <c r="D14" i="20"/>
  <c r="C15" i="20"/>
  <c r="C16" i="20"/>
  <c r="D16" i="20"/>
  <c r="D17" i="20"/>
  <c r="D18" i="20"/>
  <c r="D19" i="20"/>
  <c r="D20" i="20"/>
  <c r="C21" i="20"/>
  <c r="C22" i="20"/>
  <c r="D22" i="20"/>
  <c r="D23" i="20"/>
  <c r="D24" i="20"/>
  <c r="D25" i="20"/>
  <c r="D26" i="20"/>
  <c r="C27" i="20"/>
  <c r="G14" i="7"/>
  <c r="H14" i="7"/>
  <c r="D11" i="33"/>
  <c r="D7" i="33"/>
  <c r="H7" i="33"/>
  <c r="G7" i="33"/>
  <c r="F7" i="33"/>
  <c r="E7" i="33"/>
  <c r="C69" i="33"/>
  <c r="C50" i="14"/>
  <c r="Q66" i="6"/>
  <c r="P66" i="6"/>
  <c r="O66" i="6"/>
  <c r="N66" i="6"/>
  <c r="M66" i="6"/>
  <c r="K66" i="6"/>
  <c r="J66" i="6"/>
  <c r="I66" i="6"/>
  <c r="H66" i="6"/>
  <c r="G66" i="6"/>
  <c r="Q8" i="6"/>
  <c r="P8" i="6"/>
  <c r="O8" i="6"/>
  <c r="N8" i="6"/>
  <c r="M8" i="6"/>
  <c r="K8" i="6"/>
  <c r="J8" i="6"/>
  <c r="I8" i="6"/>
  <c r="H8" i="6"/>
  <c r="G8" i="6"/>
  <c r="E8" i="6"/>
  <c r="C16" i="14"/>
  <c r="M65" i="6"/>
  <c r="C84" i="12"/>
  <c r="C84" i="11"/>
  <c r="I14" i="9"/>
  <c r="F14" i="10"/>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5" i="14"/>
  <c r="C49" i="14"/>
  <c r="C25" i="17"/>
  <c r="S11" i="28"/>
  <c r="F35" i="10"/>
  <c r="C77" i="28"/>
  <c r="D77" i="28"/>
  <c r="E4" i="4"/>
  <c r="D57" i="28"/>
  <c r="C57" i="28"/>
  <c r="D59" i="28"/>
  <c r="C59" i="28"/>
  <c r="D72" i="28"/>
  <c r="D57" i="20"/>
  <c r="D67" i="28"/>
  <c r="D68" i="28"/>
  <c r="D35" i="20"/>
  <c r="D59" i="20"/>
  <c r="D76" i="28"/>
  <c r="D84"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1"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c r="F39" i="10"/>
  <c r="I39" i="10"/>
  <c r="J5" i="10"/>
  <c r="D86" i="28"/>
  <c r="G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S18" i="28"/>
  <c r="T14" i="28"/>
  <c r="S14" i="28"/>
  <c r="T13" i="28"/>
  <c r="S13" i="28"/>
  <c r="S12" i="28"/>
  <c r="S8"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D32" i="28"/>
  <c r="AC32" i="28"/>
  <c r="AA32" i="28"/>
  <c r="Z32" i="28"/>
  <c r="Y32" i="28"/>
  <c r="X32" i="28"/>
  <c r="W32" i="28"/>
  <c r="V32" i="28"/>
  <c r="AG31" i="28"/>
  <c r="AF31" i="28"/>
  <c r="AE31" i="28"/>
  <c r="AD31" i="28"/>
  <c r="AC31" i="28"/>
  <c r="AA31" i="28"/>
  <c r="Z31" i="28"/>
  <c r="Y31" i="28"/>
  <c r="X31" i="28"/>
  <c r="W31" i="28"/>
  <c r="V31" i="28"/>
  <c r="AG30" i="28"/>
  <c r="AF30" i="28"/>
  <c r="AF29" i="28"/>
  <c r="AF25"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K29" i="28"/>
  <c r="J30" i="28"/>
  <c r="I30" i="28"/>
  <c r="H30" i="28"/>
  <c r="G30" i="28"/>
  <c r="G29" i="28"/>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G26" i="28"/>
  <c r="AG21" i="28"/>
  <c r="AF21" i="28"/>
  <c r="AE21" i="28"/>
  <c r="AD21" i="28"/>
  <c r="AC21" i="28"/>
  <c r="AA21" i="28"/>
  <c r="Z21" i="28"/>
  <c r="Y21" i="28"/>
  <c r="X21" i="28"/>
  <c r="W21" i="28"/>
  <c r="V21" i="28"/>
  <c r="AG20" i="28"/>
  <c r="AF20" i="28"/>
  <c r="AE20" i="28"/>
  <c r="AD20" i="28"/>
  <c r="AC20" i="28"/>
  <c r="AA20" i="28"/>
  <c r="Z20" i="28"/>
  <c r="Y20" i="28"/>
  <c r="X20" i="28"/>
  <c r="W20" i="28"/>
  <c r="V20" i="28"/>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c r="P20" i="28"/>
  <c r="O20" i="28"/>
  <c r="N20" i="28"/>
  <c r="M20" i="28"/>
  <c r="L20" i="28"/>
  <c r="K20" i="28"/>
  <c r="J20" i="28"/>
  <c r="I20" i="28"/>
  <c r="H20" i="28"/>
  <c r="G20" i="28"/>
  <c r="R19" i="28"/>
  <c r="Q19" i="28"/>
  <c r="P19" i="28"/>
  <c r="P17" i="28"/>
  <c r="O19" i="28"/>
  <c r="N19" i="28"/>
  <c r="M19" i="28"/>
  <c r="L19" i="28"/>
  <c r="K19" i="28"/>
  <c r="J19" i="28"/>
  <c r="I19" i="28"/>
  <c r="H19" i="28"/>
  <c r="G19" i="28"/>
  <c r="G18" i="28"/>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c r="P14" i="28"/>
  <c r="O14" i="28"/>
  <c r="N14" i="28"/>
  <c r="M14" i="28"/>
  <c r="L14" i="28"/>
  <c r="K14" i="28"/>
  <c r="J14" i="28"/>
  <c r="J12" i="28"/>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K8" i="28"/>
  <c r="J10" i="28"/>
  <c r="I10" i="28"/>
  <c r="H10" i="28"/>
  <c r="AG9" i="28"/>
  <c r="AF9" i="28"/>
  <c r="AE9" i="28"/>
  <c r="AD9" i="28"/>
  <c r="AC9" i="28"/>
  <c r="AA9" i="28"/>
  <c r="Z9" i="28"/>
  <c r="Y9" i="28"/>
  <c r="X9" i="28"/>
  <c r="W9" i="28"/>
  <c r="V9" i="28"/>
  <c r="R9" i="28"/>
  <c r="Q9" i="28"/>
  <c r="P9" i="28"/>
  <c r="O9" i="28"/>
  <c r="N9" i="28"/>
  <c r="M9" i="28"/>
  <c r="L9" i="28"/>
  <c r="K9" i="28"/>
  <c r="J9" i="28"/>
  <c r="I9" i="28"/>
  <c r="H9" i="28"/>
  <c r="C95" i="28"/>
  <c r="C93" i="28"/>
  <c r="C92" i="28"/>
  <c r="C91" i="28"/>
  <c r="C90" i="28"/>
  <c r="R15" i="28"/>
  <c r="Q15" i="28"/>
  <c r="P15" i="28"/>
  <c r="O15" i="28"/>
  <c r="N15" i="28"/>
  <c r="M15" i="28"/>
  <c r="L15" i="28"/>
  <c r="K15" i="28"/>
  <c r="I15" i="28"/>
  <c r="H15" i="28"/>
  <c r="AH26" i="28"/>
  <c r="T26" i="28"/>
  <c r="D61" i="28"/>
  <c r="D63" i="28"/>
  <c r="AH21" i="28"/>
  <c r="T21" i="28"/>
  <c r="D66" i="28"/>
  <c r="C66" i="28"/>
  <c r="D56" i="28"/>
  <c r="S55" i="28"/>
  <c r="S97"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2" i="15"/>
  <c r="C21" i="15"/>
  <c r="C20" i="15"/>
  <c r="C19" i="15"/>
  <c r="C18" i="15"/>
  <c r="C17" i="15"/>
  <c r="C16" i="15"/>
  <c r="C15" i="15"/>
  <c r="C14" i="15"/>
  <c r="C13" i="15"/>
  <c r="C12" i="15"/>
  <c r="C11" i="15"/>
  <c r="C10" i="15"/>
  <c r="C9" i="15"/>
  <c r="C8" i="15"/>
  <c r="C83" i="14"/>
  <c r="C79" i="14"/>
  <c r="C78" i="14"/>
  <c r="C77" i="14"/>
  <c r="C75" i="14"/>
  <c r="C74" i="14"/>
  <c r="C73" i="14"/>
  <c r="C72" i="14"/>
  <c r="C70" i="14"/>
  <c r="C68" i="14"/>
  <c r="C66" i="14"/>
  <c r="C65" i="14"/>
  <c r="C64" i="14"/>
  <c r="C63" i="14"/>
  <c r="C62" i="14"/>
  <c r="C61" i="14"/>
  <c r="C60" i="14"/>
  <c r="C59" i="14"/>
  <c r="C58" i="14"/>
  <c r="C57" i="14"/>
  <c r="C56" i="14"/>
  <c r="C54" i="14"/>
  <c r="C53" i="14"/>
  <c r="C52" i="14"/>
  <c r="C48" i="14"/>
  <c r="C47" i="14"/>
  <c r="C46" i="14"/>
  <c r="C45" i="14"/>
  <c r="C44" i="14"/>
  <c r="C43"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c r="C51" i="12"/>
  <c r="I50" i="12"/>
  <c r="C50" i="12"/>
  <c r="C49" i="12"/>
  <c r="C48" i="12"/>
  <c r="I47" i="12"/>
  <c r="C47" i="12"/>
  <c r="I46" i="12"/>
  <c r="C46" i="12"/>
  <c r="I45" i="12"/>
  <c r="C45" i="12"/>
  <c r="I44" i="12"/>
  <c r="C44" i="12"/>
  <c r="I43" i="12"/>
  <c r="C43" i="12"/>
  <c r="I42" i="12"/>
  <c r="C42" i="12"/>
  <c r="G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I24" i="12"/>
  <c r="C24" i="12"/>
  <c r="I23" i="12"/>
  <c r="C23" i="12"/>
  <c r="C22" i="12"/>
  <c r="C21" i="12"/>
  <c r="I20" i="12"/>
  <c r="C20" i="12"/>
  <c r="I19" i="12"/>
  <c r="C19" i="12"/>
  <c r="I18" i="12"/>
  <c r="C18" i="12"/>
  <c r="I17" i="12"/>
  <c r="C17" i="12"/>
  <c r="C16" i="12"/>
  <c r="C15" i="12"/>
  <c r="I14" i="12"/>
  <c r="C14" i="12"/>
  <c r="I13" i="12"/>
  <c r="C13" i="12"/>
  <c r="I12" i="12"/>
  <c r="C12" i="12"/>
  <c r="I11" i="12"/>
  <c r="C11" i="12"/>
  <c r="G10" i="12"/>
  <c r="G9"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C35" i="11"/>
  <c r="C34" i="11"/>
  <c r="C32" i="11"/>
  <c r="C30" i="11"/>
  <c r="I29" i="11"/>
  <c r="C29" i="11"/>
  <c r="I28" i="11"/>
  <c r="C28" i="11"/>
  <c r="I27" i="11"/>
  <c r="C27" i="11"/>
  <c r="I26" i="11"/>
  <c r="C26" i="11"/>
  <c r="I25" i="11"/>
  <c r="C25" i="11"/>
  <c r="G24" i="11"/>
  <c r="I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C10" i="11"/>
  <c r="C9" i="11"/>
  <c r="C75"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F24" i="10"/>
  <c r="C24" i="10"/>
  <c r="I22" i="10"/>
  <c r="C22" i="10"/>
  <c r="I21" i="10"/>
  <c r="C21" i="10"/>
  <c r="I20" i="10"/>
  <c r="C20" i="10"/>
  <c r="I19" i="10"/>
  <c r="C19" i="10"/>
  <c r="I18" i="10"/>
  <c r="C18" i="10"/>
  <c r="I17" i="10"/>
  <c r="C17" i="10"/>
  <c r="I16" i="10"/>
  <c r="C16" i="10"/>
  <c r="I15" i="10"/>
  <c r="C14" i="10"/>
  <c r="I13" i="10"/>
  <c r="C13" i="10"/>
  <c r="I12" i="10"/>
  <c r="C12" i="10"/>
  <c r="C11" i="10"/>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C51" i="9"/>
  <c r="I50" i="9"/>
  <c r="C50" i="9"/>
  <c r="C49" i="9"/>
  <c r="C48" i="9"/>
  <c r="I47" i="9"/>
  <c r="C47" i="9"/>
  <c r="I46" i="9"/>
  <c r="C46" i="9"/>
  <c r="I45" i="9"/>
  <c r="C45" i="9"/>
  <c r="I44" i="9"/>
  <c r="C44" i="9"/>
  <c r="I43" i="9"/>
  <c r="C43" i="9"/>
  <c r="I42" i="9"/>
  <c r="C42" i="9"/>
  <c r="G41" i="9"/>
  <c r="G34" i="9"/>
  <c r="C41" i="9"/>
  <c r="I40" i="9"/>
  <c r="C40" i="9"/>
  <c r="I39" i="9"/>
  <c r="C39" i="9"/>
  <c r="I38" i="9"/>
  <c r="C38" i="9"/>
  <c r="I37" i="9"/>
  <c r="C37" i="9"/>
  <c r="I36" i="9"/>
  <c r="C36" i="9"/>
  <c r="G35" i="9"/>
  <c r="I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C43" i="8"/>
  <c r="I42" i="8"/>
  <c r="C42" i="8"/>
  <c r="C41" i="8"/>
  <c r="C40" i="8"/>
  <c r="I39" i="8"/>
  <c r="C39" i="8"/>
  <c r="I38" i="8"/>
  <c r="C38" i="8"/>
  <c r="I37" i="8"/>
  <c r="C37" i="8"/>
  <c r="I36" i="8"/>
  <c r="C36" i="8"/>
  <c r="G35" i="8"/>
  <c r="I35" i="8"/>
  <c r="C35" i="8"/>
  <c r="I34" i="8"/>
  <c r="C34" i="8"/>
  <c r="I33" i="8"/>
  <c r="C33" i="8"/>
  <c r="I32" i="8"/>
  <c r="C32" i="8"/>
  <c r="I31" i="8"/>
  <c r="C31" i="8"/>
  <c r="I30" i="8"/>
  <c r="C30" i="8"/>
  <c r="G29" i="8"/>
  <c r="C29" i="8"/>
  <c r="C28" i="8"/>
  <c r="C26" i="8"/>
  <c r="C24" i="8"/>
  <c r="I23" i="8"/>
  <c r="C23" i="8"/>
  <c r="I22" i="8"/>
  <c r="C22" i="8"/>
  <c r="I21" i="8"/>
  <c r="C21" i="8"/>
  <c r="G20" i="8"/>
  <c r="C20" i="8"/>
  <c r="I19" i="8"/>
  <c r="C19" i="8"/>
  <c r="C18" i="8"/>
  <c r="C17" i="8"/>
  <c r="I16" i="8"/>
  <c r="C16" i="8"/>
  <c r="I15" i="8"/>
  <c r="C15" i="8"/>
  <c r="I14" i="8"/>
  <c r="C14" i="8"/>
  <c r="G13" i="8"/>
  <c r="G8" i="8"/>
  <c r="C13" i="8"/>
  <c r="I12" i="8"/>
  <c r="I11" i="8"/>
  <c r="C11" i="8"/>
  <c r="I10" i="8"/>
  <c r="C10" i="8"/>
  <c r="G9" i="8"/>
  <c r="H9" i="8"/>
  <c r="C9" i="8"/>
  <c r="C8" i="8"/>
  <c r="C61" i="7"/>
  <c r="C60" i="7"/>
  <c r="C59" i="7"/>
  <c r="C58" i="7"/>
  <c r="C57" i="7"/>
  <c r="C56" i="7"/>
  <c r="C55" i="7"/>
  <c r="C54" i="7"/>
  <c r="C52" i="7"/>
  <c r="C50" i="7"/>
  <c r="C48" i="7"/>
  <c r="C47" i="7"/>
  <c r="I46" i="7"/>
  <c r="C46" i="7"/>
  <c r="C45" i="7"/>
  <c r="G44" i="7"/>
  <c r="G42" i="7"/>
  <c r="E15" i="24"/>
  <c r="I42" i="7"/>
  <c r="C44" i="7"/>
  <c r="C43" i="7"/>
  <c r="C42" i="7"/>
  <c r="C41" i="7"/>
  <c r="I40" i="7"/>
  <c r="C40" i="7"/>
  <c r="C39" i="7"/>
  <c r="C38" i="7"/>
  <c r="C37" i="7"/>
  <c r="G36" i="7"/>
  <c r="H36" i="7"/>
  <c r="C36" i="7"/>
  <c r="I34" i="7"/>
  <c r="C34" i="7"/>
  <c r="C33" i="7"/>
  <c r="C32" i="7"/>
  <c r="C31" i="7"/>
  <c r="G30" i="7"/>
  <c r="H30" i="7"/>
  <c r="E12" i="24"/>
  <c r="C30" i="7"/>
  <c r="C29" i="7"/>
  <c r="C27" i="7"/>
  <c r="C25" i="7"/>
  <c r="C24" i="7"/>
  <c r="I23" i="7"/>
  <c r="C23" i="7"/>
  <c r="C22" i="7"/>
  <c r="G21" i="7"/>
  <c r="H21" i="7"/>
  <c r="C21" i="7"/>
  <c r="C20" i="7"/>
  <c r="C19" i="7"/>
  <c r="C18" i="7"/>
  <c r="I17" i="7"/>
  <c r="C17" i="7"/>
  <c r="C16" i="7"/>
  <c r="C15" i="7"/>
  <c r="C14" i="7"/>
  <c r="C13" i="7"/>
  <c r="I12" i="7"/>
  <c r="C12" i="7"/>
  <c r="C11" i="7"/>
  <c r="G10" i="7"/>
  <c r="H10" i="7"/>
  <c r="C10" i="7"/>
  <c r="C9" i="7"/>
  <c r="I7" i="7"/>
  <c r="C2" i="6"/>
  <c r="C7" i="4"/>
  <c r="C6" i="4"/>
  <c r="G4" i="4"/>
  <c r="I16" i="12"/>
  <c r="Q10" i="28"/>
  <c r="G15" i="28"/>
  <c r="H31" i="28"/>
  <c r="J15" i="28"/>
  <c r="I23" i="13"/>
  <c r="I45" i="11"/>
  <c r="G51" i="11"/>
  <c r="I51" i="11"/>
  <c r="I55" i="11"/>
  <c r="I43" i="11"/>
  <c r="G41" i="11"/>
  <c r="I41" i="11"/>
  <c r="I53" i="11"/>
  <c r="I52" i="11"/>
  <c r="AE27" i="28"/>
  <c r="S30" i="28"/>
  <c r="S29" i="28"/>
  <c r="G20" i="15"/>
  <c r="AH31" i="28"/>
  <c r="G11" i="9"/>
  <c r="H11" i="9"/>
  <c r="H10" i="10"/>
  <c r="G12" i="9"/>
  <c r="H14" i="10"/>
  <c r="H75" i="33"/>
  <c r="H87" i="33"/>
  <c r="Y18" i="28"/>
  <c r="W29" i="28"/>
  <c r="W25" i="28"/>
  <c r="W41" i="28"/>
  <c r="W100" i="28"/>
  <c r="G9" i="10"/>
  <c r="X36" i="28"/>
  <c r="X34" i="28"/>
  <c r="G12" i="28"/>
  <c r="R12" i="28"/>
  <c r="R8" i="28"/>
  <c r="J36" i="28"/>
  <c r="J34" i="28"/>
  <c r="AF18" i="28"/>
  <c r="L12" i="28"/>
  <c r="L8" i="28"/>
  <c r="G16" i="25"/>
  <c r="G9" i="7"/>
  <c r="H9" i="7"/>
  <c r="Z18" i="28"/>
  <c r="Z16" i="28"/>
  <c r="G36" i="28"/>
  <c r="G34" i="28"/>
  <c r="AE18" i="28"/>
  <c r="AE16" i="28"/>
  <c r="AE47" i="28"/>
  <c r="N12" i="28"/>
  <c r="N8" i="28"/>
  <c r="N36" i="28"/>
  <c r="N34" i="28"/>
  <c r="Y36" i="28"/>
  <c r="Y34" i="28"/>
  <c r="O12" i="28"/>
  <c r="O8" i="28"/>
  <c r="W12" i="28"/>
  <c r="W8" i="28"/>
  <c r="P36" i="28"/>
  <c r="P34" i="28"/>
  <c r="AA36" i="28"/>
  <c r="AA34" i="28"/>
  <c r="K36" i="28"/>
  <c r="L36" i="28"/>
  <c r="L34" i="28"/>
  <c r="W36" i="28"/>
  <c r="W34" i="28"/>
  <c r="H15" i="34"/>
  <c r="V29" i="28"/>
  <c r="V25" i="28"/>
  <c r="V41" i="28"/>
  <c r="AA12" i="28"/>
  <c r="AE36" i="28"/>
  <c r="AE34" i="28"/>
  <c r="Z29" i="28"/>
  <c r="Z25" i="28"/>
  <c r="AF36" i="28"/>
  <c r="AF34" i="28"/>
  <c r="R18" i="28"/>
  <c r="R16" i="28"/>
  <c r="AC18" i="28"/>
  <c r="AC16" i="28"/>
  <c r="AG12" i="28"/>
  <c r="T9" i="28"/>
  <c r="O29" i="28"/>
  <c r="O25" i="28"/>
  <c r="V12" i="28"/>
  <c r="V8" i="28"/>
  <c r="V23" i="28"/>
  <c r="I18" i="28"/>
  <c r="I16" i="28"/>
  <c r="I30" i="10"/>
  <c r="I18" i="24"/>
  <c r="K18" i="24"/>
  <c r="H29" i="28"/>
  <c r="L18" i="28"/>
  <c r="L16" i="28"/>
  <c r="L29" i="28"/>
  <c r="AH9" i="28"/>
  <c r="N29" i="28"/>
  <c r="N25" i="28"/>
  <c r="AH38" i="28"/>
  <c r="AH33" i="28"/>
  <c r="R36" i="28"/>
  <c r="I30" i="13"/>
  <c r="G18" i="8"/>
  <c r="I15" i="11"/>
  <c r="I28" i="9"/>
  <c r="T15" i="28"/>
  <c r="T30" i="28"/>
  <c r="T29" i="28"/>
  <c r="AH27" i="28"/>
  <c r="M18" i="28"/>
  <c r="AH30" i="28"/>
  <c r="AA18" i="28"/>
  <c r="AA16" i="28"/>
  <c r="I14" i="10"/>
  <c r="H18" i="28"/>
  <c r="H16" i="28"/>
  <c r="T27" i="28"/>
  <c r="J27" i="28"/>
  <c r="J25" i="28"/>
  <c r="J41" i="28"/>
  <c r="I71" i="9"/>
  <c r="G22" i="11"/>
  <c r="I23" i="9"/>
  <c r="I24" i="13"/>
  <c r="G29" i="13"/>
  <c r="K12" i="28"/>
  <c r="R29" i="28"/>
  <c r="R25" i="28"/>
  <c r="O18" i="28"/>
  <c r="O16" i="28"/>
  <c r="W18" i="28"/>
  <c r="W16" i="28"/>
  <c r="W47" i="28"/>
  <c r="M29" i="28"/>
  <c r="Q36" i="28"/>
  <c r="Q34" i="28"/>
  <c r="Y16" i="28"/>
  <c r="I12" i="28"/>
  <c r="J29" i="28"/>
  <c r="X29" i="28"/>
  <c r="M36" i="28"/>
  <c r="M34" i="28"/>
  <c r="X12" i="28"/>
  <c r="X8" i="28"/>
  <c r="AC29" i="28"/>
  <c r="Z12" i="28"/>
  <c r="Z8" i="28"/>
  <c r="Z36" i="28"/>
  <c r="Z34" i="28"/>
  <c r="AC12" i="28"/>
  <c r="AD36" i="28"/>
  <c r="AD34" i="28"/>
  <c r="AF12" i="28"/>
  <c r="AF8" i="28"/>
  <c r="T12" i="28"/>
  <c r="P18" i="28"/>
  <c r="P16" i="28"/>
  <c r="P47" i="28"/>
  <c r="I36" i="28"/>
  <c r="I34" i="28"/>
  <c r="H12" i="28"/>
  <c r="P12" i="28"/>
  <c r="K18" i="28"/>
  <c r="K16" i="28"/>
  <c r="Q29" i="28"/>
  <c r="Q25" i="28"/>
  <c r="F69" i="33"/>
  <c r="F75" i="33"/>
  <c r="F87" i="33"/>
  <c r="E85" i="33"/>
  <c r="E38" i="30"/>
  <c r="E8" i="15"/>
  <c r="H14" i="15"/>
  <c r="C5" i="9"/>
  <c r="D152" i="37"/>
  <c r="E31" i="37"/>
  <c r="I29" i="9"/>
  <c r="E64" i="12"/>
  <c r="F138" i="37"/>
  <c r="F165" i="37"/>
  <c r="G22" i="12"/>
  <c r="H24" i="12"/>
  <c r="D161" i="37"/>
  <c r="E130" i="37"/>
  <c r="C5" i="13"/>
  <c r="H17" i="13"/>
  <c r="I17" i="13"/>
  <c r="I54" i="10"/>
  <c r="F52" i="10"/>
  <c r="I52" i="10"/>
  <c r="E64" i="11"/>
  <c r="C6" i="33"/>
  <c r="C6" i="35"/>
  <c r="C5" i="12"/>
  <c r="C64" i="6"/>
  <c r="C5" i="31"/>
  <c r="C5" i="30"/>
  <c r="C5" i="11"/>
  <c r="C5" i="19"/>
  <c r="C5" i="17"/>
  <c r="C5" i="34"/>
  <c r="C5" i="18"/>
  <c r="C5" i="15"/>
  <c r="C5" i="10"/>
  <c r="C5" i="6"/>
  <c r="C4" i="8"/>
  <c r="C8" i="24"/>
  <c r="C5" i="14"/>
  <c r="H41" i="12"/>
  <c r="I41" i="12"/>
  <c r="D32" i="11"/>
  <c r="D64" i="11"/>
  <c r="C5" i="20"/>
  <c r="I35" i="10"/>
  <c r="C73" i="15"/>
  <c r="R44" i="20"/>
  <c r="E12" i="9"/>
  <c r="E10" i="9"/>
  <c r="E9" i="9"/>
  <c r="E29" i="10"/>
  <c r="E28" i="10"/>
  <c r="H16" i="9"/>
  <c r="K17" i="24"/>
  <c r="F15" i="24"/>
  <c r="G29" i="7"/>
  <c r="H29" i="7"/>
  <c r="I30" i="7"/>
  <c r="I36" i="7"/>
  <c r="F29" i="13"/>
  <c r="I15" i="12"/>
  <c r="G49" i="9"/>
  <c r="F9" i="10"/>
  <c r="Q41" i="28"/>
  <c r="I47" i="28"/>
  <c r="H25" i="28"/>
  <c r="AB8" i="28"/>
  <c r="I29" i="28"/>
  <c r="I25" i="28"/>
  <c r="I41" i="28"/>
  <c r="H36" i="28"/>
  <c r="H34" i="28"/>
  <c r="H47" i="28"/>
  <c r="H8" i="28"/>
  <c r="I8" i="28"/>
  <c r="G16" i="28"/>
  <c r="G47" i="28"/>
  <c r="V18" i="28"/>
  <c r="V16" i="28"/>
  <c r="V47" i="28"/>
  <c r="G25" i="28"/>
  <c r="Z41" i="28"/>
  <c r="G8" i="28"/>
  <c r="Z46" i="28"/>
  <c r="AB29" i="28"/>
  <c r="E20" i="37"/>
  <c r="AD29" i="28"/>
  <c r="AD25" i="28"/>
  <c r="G34" i="25"/>
  <c r="I34" i="25"/>
  <c r="G31" i="25"/>
  <c r="I31" i="25"/>
  <c r="AD12" i="28"/>
  <c r="AD8" i="28"/>
  <c r="AD23" i="28"/>
  <c r="H24" i="13"/>
  <c r="H11" i="13"/>
  <c r="D157" i="37"/>
  <c r="E88" i="37"/>
  <c r="D148" i="37"/>
  <c r="E26" i="37"/>
  <c r="E69" i="37"/>
  <c r="E78" i="37"/>
  <c r="F12" i="24"/>
  <c r="F22" i="24"/>
  <c r="F21" i="24"/>
  <c r="G19" i="7"/>
  <c r="I14" i="7"/>
  <c r="I9" i="7"/>
  <c r="I35" i="12"/>
  <c r="I10" i="12"/>
  <c r="H51" i="11"/>
  <c r="G34" i="11"/>
  <c r="I35" i="11"/>
  <c r="I10" i="11"/>
  <c r="G41" i="8"/>
  <c r="I41" i="8"/>
  <c r="I29" i="8"/>
  <c r="AD18" i="28"/>
  <c r="AD16" i="28"/>
  <c r="AD47" i="28"/>
  <c r="AD41" i="28"/>
  <c r="AD100" i="28"/>
  <c r="H39" i="10"/>
  <c r="E137" i="37"/>
  <c r="E81" i="37"/>
  <c r="T18" i="28"/>
  <c r="T16" i="28"/>
  <c r="E62" i="10"/>
  <c r="D65" i="11"/>
  <c r="D59" i="12"/>
  <c r="D63" i="12"/>
  <c r="E61" i="12"/>
  <c r="E32" i="12"/>
  <c r="E65" i="12"/>
  <c r="D59" i="11"/>
  <c r="D63" i="11"/>
  <c r="D61" i="11"/>
  <c r="E14" i="13"/>
  <c r="E8" i="13"/>
  <c r="E27" i="13"/>
  <c r="E47" i="13"/>
  <c r="E51" i="13"/>
  <c r="D62" i="10"/>
  <c r="E32" i="11"/>
  <c r="E65" i="11"/>
  <c r="E61" i="11"/>
  <c r="D65" i="12"/>
  <c r="D61" i="12"/>
  <c r="E59" i="11"/>
  <c r="E63" i="11"/>
  <c r="D32" i="12"/>
  <c r="G21" i="25"/>
  <c r="I17" i="9"/>
  <c r="F29" i="10"/>
  <c r="M16" i="28"/>
  <c r="M47" i="28"/>
  <c r="M25" i="28"/>
  <c r="M41" i="28"/>
  <c r="M49" i="28"/>
  <c r="M12" i="28"/>
  <c r="M8" i="28"/>
  <c r="AB47" i="28"/>
  <c r="AA47" i="28"/>
  <c r="AA8" i="28"/>
  <c r="AA46" i="28"/>
  <c r="AA29" i="28"/>
  <c r="AA25" i="28"/>
  <c r="AA41" i="28"/>
  <c r="AA100" i="28"/>
  <c r="Y29" i="28"/>
  <c r="Y25" i="28"/>
  <c r="Y41" i="28"/>
  <c r="Y47" i="28"/>
  <c r="Y12" i="28"/>
  <c r="Y8" i="28"/>
  <c r="X25" i="28"/>
  <c r="X18" i="28"/>
  <c r="X16" i="28"/>
  <c r="V36" i="28"/>
  <c r="V34" i="28"/>
  <c r="R46" i="28"/>
  <c r="R34" i="28"/>
  <c r="T34" i="28"/>
  <c r="Q8" i="28"/>
  <c r="Q46" i="28"/>
  <c r="Q16" i="28"/>
  <c r="P29" i="28"/>
  <c r="P25" i="28"/>
  <c r="P8" i="28"/>
  <c r="P46" i="28"/>
  <c r="O36" i="28"/>
  <c r="O34" i="28"/>
  <c r="O41" i="28"/>
  <c r="N41" i="28"/>
  <c r="N49" i="28"/>
  <c r="N46" i="28"/>
  <c r="N18" i="28"/>
  <c r="N16" i="28"/>
  <c r="L25" i="28"/>
  <c r="K34" i="28"/>
  <c r="K25" i="28"/>
  <c r="K41" i="28"/>
  <c r="J18" i="28"/>
  <c r="J16" i="28"/>
  <c r="J8" i="28"/>
  <c r="Q49" i="28"/>
  <c r="Q100" i="28"/>
  <c r="T8" i="28"/>
  <c r="G46" i="28"/>
  <c r="G23" i="28"/>
  <c r="Z47" i="28"/>
  <c r="Z23" i="28"/>
  <c r="K47" i="28"/>
  <c r="K23" i="28"/>
  <c r="I49" i="28"/>
  <c r="I100" i="28"/>
  <c r="AB25" i="28"/>
  <c r="AB41" i="28"/>
  <c r="L47" i="28"/>
  <c r="L23" i="28"/>
  <c r="H23" i="28"/>
  <c r="H46" i="28"/>
  <c r="I46" i="28"/>
  <c r="I23" i="28"/>
  <c r="AA23" i="28"/>
  <c r="J47" i="28"/>
  <c r="X41" i="28"/>
  <c r="W46" i="28"/>
  <c r="W23" i="28"/>
  <c r="O23" i="28"/>
  <c r="O46" i="28"/>
  <c r="G41" i="28"/>
  <c r="AB23" i="28"/>
  <c r="J49" i="28"/>
  <c r="J100" i="28"/>
  <c r="Z49" i="28"/>
  <c r="Z100" i="28"/>
  <c r="K100" i="28"/>
  <c r="K49" i="28"/>
  <c r="P41" i="28"/>
  <c r="AA49" i="28"/>
  <c r="O47" i="28"/>
  <c r="J46" i="28"/>
  <c r="J23" i="28"/>
  <c r="Y46" i="28"/>
  <c r="Y23" i="28"/>
  <c r="N47" i="28"/>
  <c r="Q47" i="28"/>
  <c r="L46" i="28"/>
  <c r="L41" i="28"/>
  <c r="R23" i="28"/>
  <c r="AC25" i="28"/>
  <c r="AC36" i="28"/>
  <c r="AC34" i="28"/>
  <c r="X46" i="28"/>
  <c r="W49" i="28"/>
  <c r="N23" i="28"/>
  <c r="AC8" i="28"/>
  <c r="G20" i="30"/>
  <c r="G40" i="30"/>
  <c r="E20" i="30"/>
  <c r="D33" i="25"/>
  <c r="E26" i="25"/>
  <c r="G26" i="25"/>
  <c r="E17" i="25"/>
  <c r="R51" i="20"/>
  <c r="F8" i="15"/>
  <c r="H38" i="15"/>
  <c r="D50" i="7"/>
  <c r="D54" i="7"/>
  <c r="D52" i="7"/>
  <c r="D57" i="7"/>
  <c r="D56" i="7"/>
  <c r="E56" i="7"/>
  <c r="E27" i="7"/>
  <c r="I19" i="24"/>
  <c r="K16" i="24"/>
  <c r="I16" i="24"/>
  <c r="I21" i="7"/>
  <c r="I10" i="7"/>
  <c r="H36" i="13"/>
  <c r="H29" i="13"/>
  <c r="H30" i="13"/>
  <c r="G34" i="12"/>
  <c r="H15" i="12"/>
  <c r="H10" i="12"/>
  <c r="G49" i="11"/>
  <c r="H49" i="11"/>
  <c r="H41" i="11"/>
  <c r="H35" i="11"/>
  <c r="H24" i="11"/>
  <c r="H15" i="11"/>
  <c r="H10" i="11"/>
  <c r="H51" i="9"/>
  <c r="H35" i="9"/>
  <c r="H43" i="8"/>
  <c r="H41" i="8"/>
  <c r="H29" i="8"/>
  <c r="H20" i="8"/>
  <c r="I20" i="8"/>
  <c r="H13" i="8"/>
  <c r="R41" i="28"/>
  <c r="R47" i="28"/>
  <c r="Q23" i="28"/>
  <c r="N100" i="28"/>
  <c r="H41" i="28"/>
  <c r="P23" i="28"/>
  <c r="AD46" i="28"/>
  <c r="AD49" i="28"/>
  <c r="T47" i="28"/>
  <c r="T25" i="28"/>
  <c r="T41" i="28"/>
  <c r="T100" i="28"/>
  <c r="M100" i="28"/>
  <c r="M46" i="28"/>
  <c r="M23" i="28"/>
  <c r="M99" i="28"/>
  <c r="D73" i="11"/>
  <c r="D66" i="11"/>
  <c r="E73" i="11"/>
  <c r="E66" i="11"/>
  <c r="E73" i="12"/>
  <c r="E66" i="12"/>
  <c r="D73" i="12"/>
  <c r="D66" i="12"/>
  <c r="AC46" i="28"/>
  <c r="AC41" i="28"/>
  <c r="AC47" i="28"/>
  <c r="AB46" i="28"/>
  <c r="X23" i="28"/>
  <c r="X47" i="28"/>
  <c r="K46" i="28"/>
  <c r="K99" i="28"/>
  <c r="K43" i="28"/>
  <c r="Y99" i="28"/>
  <c r="Y43" i="28"/>
  <c r="AD43" i="28"/>
  <c r="AD99" i="28"/>
  <c r="AB99" i="28"/>
  <c r="AB43" i="28"/>
  <c r="Q99" i="28"/>
  <c r="Q43" i="28"/>
  <c r="P49" i="28"/>
  <c r="P100" i="28"/>
  <c r="AA99" i="28"/>
  <c r="AA43" i="28"/>
  <c r="G49" i="28"/>
  <c r="G100" i="28"/>
  <c r="I43" i="28"/>
  <c r="I99" i="28"/>
  <c r="Z43" i="28"/>
  <c r="Z99" i="28"/>
  <c r="O99" i="28"/>
  <c r="O43" i="28"/>
  <c r="G43" i="28"/>
  <c r="G99" i="28"/>
  <c r="AC23" i="28"/>
  <c r="AC43" i="28"/>
  <c r="N99" i="28"/>
  <c r="N43" i="28"/>
  <c r="J43" i="28"/>
  <c r="J99" i="28"/>
  <c r="W43" i="28"/>
  <c r="W99" i="28"/>
  <c r="H43" i="28"/>
  <c r="H99" i="28"/>
  <c r="L43" i="28"/>
  <c r="L99" i="28"/>
  <c r="T23" i="28"/>
  <c r="P99" i="28"/>
  <c r="P43" i="28"/>
  <c r="X100" i="28"/>
  <c r="X49" i="28"/>
  <c r="R99" i="28"/>
  <c r="R43" i="28"/>
  <c r="L49" i="28"/>
  <c r="L100" i="28"/>
  <c r="AB49" i="28"/>
  <c r="AB100" i="28"/>
  <c r="O49" i="28"/>
  <c r="O100" i="28"/>
  <c r="R49" i="28"/>
  <c r="R100" i="28"/>
  <c r="Y49" i="28"/>
  <c r="Y100" i="28"/>
  <c r="E52" i="7"/>
  <c r="E57" i="7"/>
  <c r="AC49" i="28"/>
  <c r="AC100" i="28"/>
  <c r="H9" i="13"/>
  <c r="I34" i="12"/>
  <c r="H34" i="12"/>
  <c r="G65" i="11"/>
  <c r="I18" i="8"/>
  <c r="T46" i="28"/>
  <c r="M43" i="28"/>
  <c r="H100" i="28"/>
  <c r="H49" i="28"/>
  <c r="AC99" i="28"/>
  <c r="T49" i="28"/>
  <c r="X99" i="28"/>
  <c r="X43" i="28"/>
  <c r="L98" i="28"/>
  <c r="L48" i="28"/>
  <c r="G48" i="28"/>
  <c r="G98" i="28"/>
  <c r="T99" i="28"/>
  <c r="T43" i="28"/>
  <c r="O48" i="28"/>
  <c r="O98" i="28"/>
  <c r="H48" i="28"/>
  <c r="H98" i="28"/>
  <c r="M48" i="28"/>
  <c r="M98" i="28"/>
  <c r="Q98" i="28"/>
  <c r="Q48" i="28"/>
  <c r="AA98" i="28"/>
  <c r="AA48" i="28"/>
  <c r="W48" i="28"/>
  <c r="W98" i="28"/>
  <c r="R98" i="28"/>
  <c r="R48" i="28"/>
  <c r="AB98" i="28"/>
  <c r="AB48" i="28"/>
  <c r="Z48" i="28"/>
  <c r="Z98" i="28"/>
  <c r="I98" i="28"/>
  <c r="I48" i="28"/>
  <c r="AD98" i="28"/>
  <c r="AD48" i="28"/>
  <c r="P48" i="28"/>
  <c r="P98" i="28"/>
  <c r="J48" i="28"/>
  <c r="J98" i="28"/>
  <c r="Y98" i="28"/>
  <c r="Y48" i="28"/>
  <c r="K48" i="28"/>
  <c r="K98" i="28"/>
  <c r="N98" i="28"/>
  <c r="N48" i="28"/>
  <c r="AC98" i="28"/>
  <c r="AC48" i="28"/>
  <c r="X48" i="28"/>
  <c r="X98" i="28"/>
  <c r="T48" i="28"/>
  <c r="T98" i="28"/>
  <c r="E69" i="33"/>
  <c r="AF16" i="28"/>
  <c r="AF47" i="28"/>
  <c r="V99" i="28"/>
  <c r="V43" i="28"/>
  <c r="V49" i="28"/>
  <c r="V100" i="28"/>
  <c r="V46" i="28"/>
  <c r="M100" i="6"/>
  <c r="G100" i="6"/>
  <c r="G55" i="6"/>
  <c r="K100" i="6"/>
  <c r="P100" i="6"/>
  <c r="I29" i="25"/>
  <c r="Q88" i="6"/>
  <c r="G29" i="6"/>
  <c r="D26" i="25"/>
  <c r="P29" i="6"/>
  <c r="K29" i="6"/>
  <c r="K50" i="6"/>
  <c r="O77" i="6"/>
  <c r="M68" i="6"/>
  <c r="E27" i="6"/>
  <c r="M9" i="6"/>
  <c r="J68" i="6"/>
  <c r="O68" i="6"/>
  <c r="P68" i="6"/>
  <c r="J9" i="6"/>
  <c r="N9" i="6"/>
  <c r="O9" i="6"/>
  <c r="I67" i="6"/>
  <c r="F68" i="14"/>
  <c r="I58" i="14"/>
  <c r="H64" i="14"/>
  <c r="G55" i="7"/>
  <c r="H42" i="7"/>
  <c r="G50" i="7"/>
  <c r="G54" i="7"/>
  <c r="H44" i="7"/>
  <c r="I13" i="24"/>
  <c r="I11" i="13"/>
  <c r="J11" i="12"/>
  <c r="G59" i="11"/>
  <c r="H59" i="11"/>
  <c r="H34" i="11"/>
  <c r="I34" i="11"/>
  <c r="H22" i="11"/>
  <c r="G9" i="11"/>
  <c r="I9" i="11"/>
  <c r="H12" i="9"/>
  <c r="G55" i="8"/>
  <c r="H18" i="8"/>
  <c r="G56" i="7"/>
  <c r="H19" i="7"/>
  <c r="H22" i="15"/>
  <c r="F20" i="15"/>
  <c r="D54" i="15"/>
  <c r="D58" i="15"/>
  <c r="D60" i="15"/>
  <c r="H9" i="15"/>
  <c r="E31" i="15"/>
  <c r="E54" i="15"/>
  <c r="G31" i="15"/>
  <c r="H35" i="14"/>
  <c r="H34" i="14"/>
  <c r="G68" i="14"/>
  <c r="F32" i="14"/>
  <c r="I27" i="14"/>
  <c r="H14" i="14"/>
  <c r="F28" i="10"/>
  <c r="G75" i="33"/>
  <c r="G87" i="33"/>
  <c r="E40" i="30"/>
  <c r="AE29" i="28"/>
  <c r="AE25" i="28"/>
  <c r="AE41" i="28"/>
  <c r="AE12" i="28"/>
  <c r="AE8" i="28"/>
  <c r="V48" i="28"/>
  <c r="V98" i="28"/>
  <c r="G50" i="6"/>
  <c r="G53" i="6"/>
  <c r="G56" i="6"/>
  <c r="O27" i="6"/>
  <c r="J24" i="12"/>
  <c r="J23" i="12"/>
  <c r="J17" i="12"/>
  <c r="J12" i="34"/>
  <c r="J18" i="12"/>
  <c r="J28" i="12"/>
  <c r="J26" i="12"/>
  <c r="J27" i="12"/>
  <c r="J13" i="12"/>
  <c r="J25" i="12"/>
  <c r="J16" i="12"/>
  <c r="J20" i="12"/>
  <c r="J15" i="12"/>
  <c r="J12" i="12"/>
  <c r="J29" i="12"/>
  <c r="J14" i="12"/>
  <c r="I22" i="11"/>
  <c r="E58" i="15"/>
  <c r="E60" i="15"/>
  <c r="D17" i="35"/>
  <c r="D59" i="35"/>
  <c r="AG18" i="28"/>
  <c r="AG16" i="28"/>
  <c r="AG29" i="28"/>
  <c r="AG25" i="28"/>
  <c r="AG8" i="28"/>
  <c r="AH36" i="28"/>
  <c r="AG36" i="28"/>
  <c r="AG34" i="28"/>
  <c r="AG47" i="28"/>
  <c r="G45" i="13"/>
  <c r="I36" i="13"/>
  <c r="F45" i="13"/>
  <c r="I29" i="13"/>
  <c r="G15" i="13"/>
  <c r="F15" i="13"/>
  <c r="G14" i="13"/>
  <c r="F9" i="13"/>
  <c r="I9" i="13"/>
  <c r="AE23" i="28"/>
  <c r="AE46" i="28"/>
  <c r="AE49" i="28"/>
  <c r="AE100" i="28"/>
  <c r="AF46" i="28"/>
  <c r="AF23" i="28"/>
  <c r="AF41" i="28"/>
  <c r="K13" i="24"/>
  <c r="I17" i="24"/>
  <c r="J34" i="12"/>
  <c r="G49" i="12"/>
  <c r="G65" i="12"/>
  <c r="H51" i="12"/>
  <c r="J55" i="12"/>
  <c r="J46" i="12"/>
  <c r="J53" i="12"/>
  <c r="J40" i="12"/>
  <c r="J37" i="12"/>
  <c r="J44" i="12"/>
  <c r="J41" i="12"/>
  <c r="J36" i="12"/>
  <c r="J42" i="12"/>
  <c r="J50" i="12"/>
  <c r="J56" i="12"/>
  <c r="J45" i="12"/>
  <c r="J35" i="12"/>
  <c r="J47" i="12"/>
  <c r="J38" i="12"/>
  <c r="J49" i="12"/>
  <c r="J54" i="12"/>
  <c r="L12" i="34"/>
  <c r="H12" i="34"/>
  <c r="J43" i="12"/>
  <c r="J39" i="12"/>
  <c r="J52" i="12"/>
  <c r="J51" i="12"/>
  <c r="J22" i="12"/>
  <c r="H22" i="12"/>
  <c r="I22" i="12"/>
  <c r="J19" i="12"/>
  <c r="J10" i="12"/>
  <c r="J9" i="12"/>
  <c r="H9" i="12"/>
  <c r="G32" i="12"/>
  <c r="G64" i="12"/>
  <c r="I9" i="12"/>
  <c r="G63" i="11"/>
  <c r="H63" i="11"/>
  <c r="M11" i="34"/>
  <c r="O11" i="34"/>
  <c r="J39" i="11"/>
  <c r="I59" i="11"/>
  <c r="L11" i="34"/>
  <c r="I49" i="11"/>
  <c r="J52" i="11"/>
  <c r="J49" i="11"/>
  <c r="J50" i="11"/>
  <c r="J51" i="11"/>
  <c r="J40" i="11"/>
  <c r="J54" i="11"/>
  <c r="J42" i="11"/>
  <c r="J46" i="11"/>
  <c r="I63" i="11"/>
  <c r="J43" i="11"/>
  <c r="J37" i="11"/>
  <c r="J38" i="11"/>
  <c r="J36" i="11"/>
  <c r="J55" i="11"/>
  <c r="J35" i="11"/>
  <c r="J53" i="11"/>
  <c r="J56" i="11"/>
  <c r="J45" i="11"/>
  <c r="J41" i="11"/>
  <c r="J34" i="11"/>
  <c r="J47" i="11"/>
  <c r="J44" i="11"/>
  <c r="J9" i="11"/>
  <c r="H9" i="11"/>
  <c r="G32" i="11"/>
  <c r="G64" i="11"/>
  <c r="G61" i="11"/>
  <c r="H49" i="9"/>
  <c r="H41" i="9"/>
  <c r="I41" i="9"/>
  <c r="I43" i="8"/>
  <c r="J36" i="8"/>
  <c r="J30" i="8"/>
  <c r="J43" i="8"/>
  <c r="J37" i="8"/>
  <c r="J41" i="8"/>
  <c r="J38" i="8"/>
  <c r="J34" i="8"/>
  <c r="J29" i="8"/>
  <c r="J42" i="8"/>
  <c r="J39" i="8"/>
  <c r="L9" i="34"/>
  <c r="J32" i="8"/>
  <c r="J46" i="8"/>
  <c r="J31" i="8"/>
  <c r="J33" i="8"/>
  <c r="J35" i="8"/>
  <c r="J45" i="8"/>
  <c r="H35" i="8"/>
  <c r="J44" i="8"/>
  <c r="G28" i="8"/>
  <c r="G54" i="8"/>
  <c r="I28" i="8"/>
  <c r="J28" i="8"/>
  <c r="H28" i="8"/>
  <c r="G49" i="8"/>
  <c r="J14" i="8"/>
  <c r="J16" i="8"/>
  <c r="J20" i="8"/>
  <c r="J13" i="8"/>
  <c r="G26" i="8"/>
  <c r="I26" i="8"/>
  <c r="H8" i="8"/>
  <c r="J8" i="8"/>
  <c r="I13" i="8"/>
  <c r="I8" i="8"/>
  <c r="J21" i="8"/>
  <c r="J18" i="8"/>
  <c r="J9" i="8"/>
  <c r="J11" i="8"/>
  <c r="J10" i="8"/>
  <c r="J22" i="8"/>
  <c r="J19" i="8"/>
  <c r="J12" i="8"/>
  <c r="J23" i="8"/>
  <c r="J9" i="34"/>
  <c r="J15" i="8"/>
  <c r="I9" i="8"/>
  <c r="K15" i="24"/>
  <c r="I15" i="24"/>
  <c r="I44" i="7"/>
  <c r="I14" i="24"/>
  <c r="E22" i="24"/>
  <c r="K22" i="24"/>
  <c r="L12" i="24"/>
  <c r="K12" i="24"/>
  <c r="I12" i="24"/>
  <c r="H54" i="7"/>
  <c r="I22" i="24"/>
  <c r="M8" i="34"/>
  <c r="I8" i="34"/>
  <c r="H50" i="7"/>
  <c r="K14" i="24"/>
  <c r="J19" i="7"/>
  <c r="I19" i="7"/>
  <c r="G27" i="7"/>
  <c r="H20" i="15"/>
  <c r="F31" i="15"/>
  <c r="H31" i="15"/>
  <c r="G61" i="15"/>
  <c r="F54" i="15"/>
  <c r="I48" i="15"/>
  <c r="F58" i="15"/>
  <c r="I36" i="15"/>
  <c r="I50" i="15"/>
  <c r="I40" i="15"/>
  <c r="I45" i="15"/>
  <c r="I32" i="15"/>
  <c r="I47" i="15"/>
  <c r="I37" i="15"/>
  <c r="I38" i="15"/>
  <c r="I41" i="15"/>
  <c r="I33" i="15"/>
  <c r="G54" i="15"/>
  <c r="I34" i="15"/>
  <c r="I43" i="15"/>
  <c r="I51" i="15"/>
  <c r="L13" i="34"/>
  <c r="F60" i="15"/>
  <c r="I52" i="15"/>
  <c r="F61" i="15"/>
  <c r="E61" i="15"/>
  <c r="E29" i="15"/>
  <c r="E56" i="15"/>
  <c r="D61" i="15"/>
  <c r="D29" i="15"/>
  <c r="D56" i="15"/>
  <c r="F29" i="15"/>
  <c r="I13" i="15"/>
  <c r="G8" i="15"/>
  <c r="I10" i="15"/>
  <c r="G29" i="15"/>
  <c r="H8" i="15"/>
  <c r="G60" i="15"/>
  <c r="G32" i="14"/>
  <c r="H9" i="14"/>
  <c r="I57" i="14"/>
  <c r="I66" i="14"/>
  <c r="I55" i="14"/>
  <c r="I63" i="14"/>
  <c r="I36" i="14"/>
  <c r="I40" i="14"/>
  <c r="I45" i="14"/>
  <c r="I53" i="14"/>
  <c r="I41" i="14"/>
  <c r="I42" i="14"/>
  <c r="I56" i="14"/>
  <c r="I61" i="14"/>
  <c r="I43" i="14"/>
  <c r="I52" i="14"/>
  <c r="I50" i="14"/>
  <c r="I46" i="14"/>
  <c r="I59" i="14"/>
  <c r="I39" i="14"/>
  <c r="I54" i="14"/>
  <c r="I64" i="14"/>
  <c r="H68" i="14"/>
  <c r="I47" i="14"/>
  <c r="I35" i="14"/>
  <c r="I38" i="14"/>
  <c r="I49" i="14"/>
  <c r="I48" i="14"/>
  <c r="I51" i="14"/>
  <c r="I34" i="14"/>
  <c r="I65" i="14"/>
  <c r="I44" i="14"/>
  <c r="I37" i="14"/>
  <c r="I62" i="14"/>
  <c r="H36" i="14"/>
  <c r="F70" i="14"/>
  <c r="H32" i="14"/>
  <c r="I15" i="14"/>
  <c r="I14" i="14"/>
  <c r="I29" i="14"/>
  <c r="I24" i="14"/>
  <c r="G70" i="14"/>
  <c r="I25" i="14"/>
  <c r="I11" i="14"/>
  <c r="I22" i="14"/>
  <c r="I30" i="14"/>
  <c r="I23" i="14"/>
  <c r="I10" i="14"/>
  <c r="I12" i="14"/>
  <c r="I16" i="14"/>
  <c r="I21" i="14"/>
  <c r="I18" i="14"/>
  <c r="I20" i="14"/>
  <c r="I9" i="14"/>
  <c r="I17" i="14"/>
  <c r="I28" i="14"/>
  <c r="I19" i="14"/>
  <c r="I26" i="14"/>
  <c r="AG41" i="28"/>
  <c r="AH25" i="28"/>
  <c r="AH8" i="28"/>
  <c r="AG23" i="28"/>
  <c r="AG46" i="28"/>
  <c r="AH12" i="28"/>
  <c r="AH29" i="28"/>
  <c r="AH18" i="28"/>
  <c r="AH16" i="28"/>
  <c r="I24" i="10"/>
  <c r="I9" i="10"/>
  <c r="H9" i="10"/>
  <c r="H45" i="10"/>
  <c r="G29" i="10"/>
  <c r="G20" i="9"/>
  <c r="I20" i="9"/>
  <c r="F62" i="10"/>
  <c r="J46" i="10"/>
  <c r="G13" i="9"/>
  <c r="H24" i="10"/>
  <c r="I12" i="9"/>
  <c r="G10" i="9"/>
  <c r="G165" i="37"/>
  <c r="S36" i="28"/>
  <c r="S34" i="28"/>
  <c r="S25" i="28"/>
  <c r="S16" i="28"/>
  <c r="S23" i="28"/>
  <c r="I19" i="9"/>
  <c r="I18" i="9"/>
  <c r="H29" i="9"/>
  <c r="I26" i="9"/>
  <c r="H27" i="9"/>
  <c r="E24" i="9"/>
  <c r="E22" i="9"/>
  <c r="E65" i="9"/>
  <c r="E34" i="9"/>
  <c r="E59" i="9"/>
  <c r="E63" i="9"/>
  <c r="H26" i="9"/>
  <c r="E15" i="9"/>
  <c r="D15" i="9"/>
  <c r="D9" i="9"/>
  <c r="I49" i="9"/>
  <c r="I11" i="9"/>
  <c r="H18" i="9"/>
  <c r="I27" i="9"/>
  <c r="I16" i="9"/>
  <c r="I25" i="9"/>
  <c r="G15" i="9"/>
  <c r="G59" i="9"/>
  <c r="I51" i="9"/>
  <c r="G24" i="9"/>
  <c r="E11" i="37"/>
  <c r="C80" i="14"/>
  <c r="C75" i="9"/>
  <c r="C59" i="8"/>
  <c r="C54" i="13"/>
  <c r="C76" i="12"/>
  <c r="E104" i="37"/>
  <c r="D160" i="37"/>
  <c r="E107" i="37"/>
  <c r="P55" i="28"/>
  <c r="P97" i="28"/>
  <c r="AD55" i="28"/>
  <c r="AD97" i="28"/>
  <c r="E56" i="37"/>
  <c r="C47" i="30"/>
  <c r="E43" i="37"/>
  <c r="N55" i="28"/>
  <c r="N97" i="28"/>
  <c r="R55" i="28"/>
  <c r="R97" i="28"/>
  <c r="L55" i="28"/>
  <c r="L97" i="28"/>
  <c r="H55" i="28"/>
  <c r="H97" i="28"/>
  <c r="V55" i="28"/>
  <c r="V97" i="28"/>
  <c r="W55" i="28"/>
  <c r="W97" i="28"/>
  <c r="J55" i="28"/>
  <c r="J97" i="28"/>
  <c r="AG55" i="28"/>
  <c r="AG97" i="28"/>
  <c r="AC55" i="28"/>
  <c r="AC97" i="28"/>
  <c r="AH55" i="28"/>
  <c r="X55" i="28"/>
  <c r="X97" i="28"/>
  <c r="M55" i="28"/>
  <c r="M97" i="28"/>
  <c r="Y55" i="28"/>
  <c r="Y97" i="28"/>
  <c r="G55" i="28"/>
  <c r="G97" i="28"/>
  <c r="O55" i="28"/>
  <c r="O97" i="28"/>
  <c r="I55" i="28"/>
  <c r="I97" i="28"/>
  <c r="AE55" i="28"/>
  <c r="AE97" i="28"/>
  <c r="K55" i="28"/>
  <c r="K97" i="28"/>
  <c r="AF55" i="28"/>
  <c r="AF97" i="28"/>
  <c r="T55" i="28"/>
  <c r="T97" i="28"/>
  <c r="Z55" i="28"/>
  <c r="Z97" i="28"/>
  <c r="AA55" i="28"/>
  <c r="AA97" i="28"/>
  <c r="Q55" i="28"/>
  <c r="Q97" i="28"/>
  <c r="AB55" i="28"/>
  <c r="AB97" i="28"/>
  <c r="I71" i="33"/>
  <c r="I14" i="33"/>
  <c r="AH34" i="28"/>
  <c r="AH47" i="28"/>
  <c r="AH46" i="28"/>
  <c r="AH41" i="28"/>
  <c r="AH100" i="28"/>
  <c r="J31" i="13"/>
  <c r="J43" i="13"/>
  <c r="J34" i="13"/>
  <c r="J36" i="13"/>
  <c r="J32" i="13"/>
  <c r="J42" i="13"/>
  <c r="I45" i="13"/>
  <c r="J33" i="13"/>
  <c r="J30" i="13"/>
  <c r="J37" i="13"/>
  <c r="J29" i="13"/>
  <c r="J41" i="13"/>
  <c r="J35" i="13"/>
  <c r="J38" i="13"/>
  <c r="J39" i="13"/>
  <c r="J40" i="13"/>
  <c r="H45" i="13"/>
  <c r="F14" i="13"/>
  <c r="H15" i="13"/>
  <c r="I15" i="13"/>
  <c r="I14" i="13"/>
  <c r="H14" i="13"/>
  <c r="G8" i="13"/>
  <c r="F8" i="13"/>
  <c r="AH49" i="28"/>
  <c r="AE43" i="28"/>
  <c r="AE99" i="28"/>
  <c r="AF49" i="28"/>
  <c r="AF100" i="28"/>
  <c r="AF99" i="28"/>
  <c r="AF43" i="28"/>
  <c r="G61" i="12"/>
  <c r="I49" i="12"/>
  <c r="H49" i="12"/>
  <c r="G59" i="12"/>
  <c r="G66" i="12"/>
  <c r="G73" i="12"/>
  <c r="H32" i="12"/>
  <c r="K12" i="34"/>
  <c r="I32" i="12"/>
  <c r="J19" i="11"/>
  <c r="J10" i="11"/>
  <c r="J18" i="11"/>
  <c r="J29" i="11"/>
  <c r="J23" i="11"/>
  <c r="J22" i="11"/>
  <c r="J11" i="34"/>
  <c r="H11" i="34"/>
  <c r="J25" i="11"/>
  <c r="J26" i="11"/>
  <c r="J17" i="11"/>
  <c r="J16" i="11"/>
  <c r="J15" i="11"/>
  <c r="J14" i="11"/>
  <c r="J27" i="11"/>
  <c r="J13" i="11"/>
  <c r="J24" i="11"/>
  <c r="J11" i="11"/>
  <c r="J28" i="11"/>
  <c r="J20" i="11"/>
  <c r="J12" i="11"/>
  <c r="G66" i="11"/>
  <c r="I32" i="11"/>
  <c r="H32" i="11"/>
  <c r="K11" i="34"/>
  <c r="I11" i="34"/>
  <c r="M9" i="34"/>
  <c r="O9" i="34"/>
  <c r="H49" i="8"/>
  <c r="G53" i="8"/>
  <c r="I49" i="8"/>
  <c r="K9" i="34"/>
  <c r="N9" i="34"/>
  <c r="G51" i="8"/>
  <c r="G56" i="8"/>
  <c r="H26" i="8"/>
  <c r="H9" i="34"/>
  <c r="L14" i="24"/>
  <c r="I29" i="7"/>
  <c r="L15" i="24"/>
  <c r="L13" i="24"/>
  <c r="L17" i="24"/>
  <c r="E21" i="24"/>
  <c r="L18" i="24"/>
  <c r="L16" i="24"/>
  <c r="J9" i="7"/>
  <c r="J24" i="7"/>
  <c r="J10" i="7"/>
  <c r="J12" i="7"/>
  <c r="J8" i="34"/>
  <c r="J21" i="7"/>
  <c r="J22" i="7"/>
  <c r="J20" i="7"/>
  <c r="J11" i="7"/>
  <c r="J23" i="7"/>
  <c r="J17" i="7"/>
  <c r="J16" i="7"/>
  <c r="J14" i="7"/>
  <c r="J15" i="7"/>
  <c r="J13" i="7"/>
  <c r="H27" i="7"/>
  <c r="G52" i="7"/>
  <c r="G57" i="7"/>
  <c r="I27" i="7"/>
  <c r="K8" i="34"/>
  <c r="I19" i="15"/>
  <c r="I8" i="15"/>
  <c r="F56" i="15"/>
  <c r="F68" i="15"/>
  <c r="I16" i="15"/>
  <c r="I22" i="15"/>
  <c r="I20" i="15"/>
  <c r="I14" i="15"/>
  <c r="I26" i="15"/>
  <c r="I12" i="15"/>
  <c r="J13" i="34"/>
  <c r="H13" i="34"/>
  <c r="I49" i="15"/>
  <c r="I39" i="15"/>
  <c r="I42" i="15"/>
  <c r="I31" i="15"/>
  <c r="I44" i="15"/>
  <c r="I35" i="15"/>
  <c r="I46" i="15"/>
  <c r="F59" i="15"/>
  <c r="M13" i="34"/>
  <c r="O13" i="34"/>
  <c r="G58" i="15"/>
  <c r="H58" i="15"/>
  <c r="H54" i="15"/>
  <c r="I9" i="15"/>
  <c r="D68" i="15"/>
  <c r="D59" i="15"/>
  <c r="E59" i="15"/>
  <c r="E68" i="15"/>
  <c r="I23" i="15"/>
  <c r="I24" i="15"/>
  <c r="I21" i="15"/>
  <c r="I25" i="15"/>
  <c r="I15" i="15"/>
  <c r="I18" i="15"/>
  <c r="I11" i="15"/>
  <c r="I17" i="15"/>
  <c r="I27" i="15"/>
  <c r="H29" i="15"/>
  <c r="G56" i="15"/>
  <c r="K13" i="34"/>
  <c r="AG99" i="28"/>
  <c r="AG43" i="28"/>
  <c r="AH23" i="28"/>
  <c r="AH43" i="28"/>
  <c r="AG49" i="28"/>
  <c r="AG100" i="28"/>
  <c r="J18" i="10"/>
  <c r="H20" i="9"/>
  <c r="G28" i="10"/>
  <c r="J28" i="10"/>
  <c r="I29" i="10"/>
  <c r="H29" i="10"/>
  <c r="J56" i="10"/>
  <c r="J20" i="10"/>
  <c r="J45" i="10"/>
  <c r="J25" i="10"/>
  <c r="J30" i="10"/>
  <c r="J59" i="10"/>
  <c r="J37" i="10"/>
  <c r="J32" i="10"/>
  <c r="J11" i="10"/>
  <c r="J12" i="10"/>
  <c r="J21" i="10"/>
  <c r="J9" i="10"/>
  <c r="J26" i="10"/>
  <c r="J40" i="10"/>
  <c r="J19" i="10"/>
  <c r="J22" i="10"/>
  <c r="J54" i="10"/>
  <c r="J58" i="10"/>
  <c r="J17" i="10"/>
  <c r="J55" i="10"/>
  <c r="J14" i="10"/>
  <c r="J50" i="10"/>
  <c r="J29" i="10"/>
  <c r="J33" i="10"/>
  <c r="J42" i="10"/>
  <c r="J52" i="10"/>
  <c r="J38" i="10"/>
  <c r="J49" i="10"/>
  <c r="J44" i="10"/>
  <c r="J39" i="10"/>
  <c r="J53" i="10"/>
  <c r="J48" i="10"/>
  <c r="J36" i="10"/>
  <c r="J35" i="10"/>
  <c r="J57" i="10"/>
  <c r="J34" i="10"/>
  <c r="J41" i="10"/>
  <c r="J10" i="10"/>
  <c r="J16" i="10"/>
  <c r="J43" i="10"/>
  <c r="J31" i="10"/>
  <c r="J47" i="10"/>
  <c r="J15" i="10"/>
  <c r="J24" i="10"/>
  <c r="J13" i="10"/>
  <c r="H13" i="9"/>
  <c r="I13" i="9"/>
  <c r="G9" i="9"/>
  <c r="G64" i="9"/>
  <c r="S47" i="28"/>
  <c r="S41" i="28"/>
  <c r="S46" i="28"/>
  <c r="S43" i="28"/>
  <c r="S99" i="28"/>
  <c r="J34" i="9"/>
  <c r="H34" i="9"/>
  <c r="I34" i="9"/>
  <c r="M10" i="34"/>
  <c r="G63" i="9"/>
  <c r="I59" i="9"/>
  <c r="H59" i="9"/>
  <c r="H15" i="9"/>
  <c r="J44" i="9"/>
  <c r="J43" i="9"/>
  <c r="J42" i="9"/>
  <c r="J54" i="9"/>
  <c r="L10" i="34"/>
  <c r="J47" i="9"/>
  <c r="J37" i="9"/>
  <c r="J53" i="9"/>
  <c r="J38" i="9"/>
  <c r="J45" i="9"/>
  <c r="J36" i="9"/>
  <c r="J39" i="9"/>
  <c r="J41" i="9"/>
  <c r="J40" i="9"/>
  <c r="J55" i="9"/>
  <c r="J52" i="9"/>
  <c r="J46" i="9"/>
  <c r="J50" i="9"/>
  <c r="J51" i="9"/>
  <c r="J56" i="9"/>
  <c r="J35" i="9"/>
  <c r="G22" i="9"/>
  <c r="H24" i="9"/>
  <c r="J49" i="9"/>
  <c r="G27" i="13"/>
  <c r="H8" i="13"/>
  <c r="I8" i="13"/>
  <c r="F27" i="13"/>
  <c r="AE98" i="28"/>
  <c r="AE48" i="28"/>
  <c r="AF48" i="28"/>
  <c r="AF98" i="28"/>
  <c r="AH99" i="28"/>
  <c r="G63" i="12"/>
  <c r="M12" i="34"/>
  <c r="H59" i="12"/>
  <c r="I59" i="12"/>
  <c r="N12" i="34"/>
  <c r="I12" i="34"/>
  <c r="N11" i="34"/>
  <c r="I53" i="8"/>
  <c r="H53" i="8"/>
  <c r="J53" i="8"/>
  <c r="J46" i="7"/>
  <c r="J44" i="7"/>
  <c r="J38" i="7"/>
  <c r="J35" i="7"/>
  <c r="J34" i="7"/>
  <c r="J42" i="7"/>
  <c r="J39" i="7"/>
  <c r="J32" i="7"/>
  <c r="J31" i="7"/>
  <c r="J40" i="7"/>
  <c r="J29" i="7"/>
  <c r="J30" i="7"/>
  <c r="J45" i="7"/>
  <c r="L8" i="34"/>
  <c r="O8" i="34"/>
  <c r="J37" i="7"/>
  <c r="J36" i="7"/>
  <c r="J43" i="7"/>
  <c r="I50" i="7"/>
  <c r="J33" i="7"/>
  <c r="J47" i="7"/>
  <c r="K21" i="24"/>
  <c r="L21" i="24"/>
  <c r="I21" i="24"/>
  <c r="N8" i="34"/>
  <c r="I13" i="34"/>
  <c r="G59" i="15"/>
  <c r="G68" i="15"/>
  <c r="AG48" i="28"/>
  <c r="AG98" i="28"/>
  <c r="H28" i="10"/>
  <c r="I28" i="10"/>
  <c r="G62" i="10"/>
  <c r="G32" i="9"/>
  <c r="AH48" i="28"/>
  <c r="AH98" i="28"/>
  <c r="AH97" i="28"/>
  <c r="S100" i="28"/>
  <c r="S49" i="28"/>
  <c r="S98" i="28"/>
  <c r="S48" i="28"/>
  <c r="O10" i="34"/>
  <c r="I63" i="9"/>
  <c r="H63" i="9"/>
  <c r="H27" i="13"/>
  <c r="G47" i="13"/>
  <c r="F47" i="13"/>
  <c r="J24" i="13"/>
  <c r="J11" i="13"/>
  <c r="J14" i="13"/>
  <c r="J10" i="13"/>
  <c r="J13" i="13"/>
  <c r="I27" i="13"/>
  <c r="J22" i="13"/>
  <c r="J21" i="13"/>
  <c r="J25" i="13"/>
  <c r="J17" i="13"/>
  <c r="J15" i="13"/>
  <c r="J8" i="13"/>
  <c r="J9" i="13"/>
  <c r="J19" i="13"/>
  <c r="J16" i="13"/>
  <c r="J23" i="13"/>
  <c r="J12" i="13"/>
  <c r="J20" i="13"/>
  <c r="J18" i="13"/>
  <c r="H63" i="12"/>
  <c r="I63" i="12"/>
  <c r="J54" i="7"/>
  <c r="I54" i="7"/>
  <c r="H8" i="34"/>
  <c r="I62" i="10"/>
  <c r="H62" i="10"/>
  <c r="G51" i="13"/>
  <c r="F51" i="13"/>
  <c r="D66" i="35"/>
  <c r="E75" i="33"/>
  <c r="E87" i="33"/>
  <c r="I69" i="33"/>
  <c r="I75" i="33"/>
  <c r="I87" i="33"/>
  <c r="D67" i="35"/>
  <c r="N13" i="34"/>
  <c r="I9" i="34"/>
  <c r="O12" i="34"/>
  <c r="O15" i="34"/>
  <c r="F22" i="9"/>
  <c r="I24" i="9"/>
  <c r="H9" i="9"/>
  <c r="E32" i="9"/>
  <c r="E61" i="9"/>
  <c r="E66" i="9"/>
  <c r="E64" i="9"/>
  <c r="F9" i="9"/>
  <c r="I10" i="9"/>
  <c r="I15" i="9"/>
  <c r="D32" i="9"/>
  <c r="D61" i="9"/>
  <c r="D66" i="9"/>
  <c r="D64" i="9"/>
  <c r="H10" i="9"/>
  <c r="H22" i="9"/>
  <c r="G61" i="9"/>
  <c r="G66" i="9"/>
  <c r="K10" i="34"/>
  <c r="G65" i="9"/>
  <c r="D40" i="30"/>
  <c r="H38" i="30"/>
  <c r="H40" i="30"/>
  <c r="O100" i="6"/>
  <c r="G113" i="6"/>
  <c r="E50" i="6"/>
  <c r="E53" i="6"/>
  <c r="E56" i="6"/>
  <c r="D44" i="25"/>
  <c r="H50" i="6"/>
  <c r="H53" i="6"/>
  <c r="D25" i="25"/>
  <c r="N88" i="6"/>
  <c r="P50" i="6"/>
  <c r="P53" i="6"/>
  <c r="E54" i="6"/>
  <c r="H88" i="6"/>
  <c r="J88" i="6"/>
  <c r="P88" i="6"/>
  <c r="G17" i="25"/>
  <c r="I17" i="25"/>
  <c r="E44" i="25"/>
  <c r="G44" i="25"/>
  <c r="Q77" i="6"/>
  <c r="M27" i="6"/>
  <c r="N27" i="6"/>
  <c r="M77" i="6"/>
  <c r="P67" i="6"/>
  <c r="P54" i="6"/>
  <c r="P27" i="6"/>
  <c r="J67" i="6"/>
  <c r="H54" i="6"/>
  <c r="H67" i="6"/>
  <c r="I13" i="25"/>
  <c r="I15" i="25"/>
  <c r="N67" i="6"/>
  <c r="E10" i="25"/>
  <c r="G9" i="6"/>
  <c r="N68" i="6"/>
  <c r="Q9" i="6"/>
  <c r="K67" i="6"/>
  <c r="R53" i="20"/>
  <c r="H14" i="34"/>
  <c r="O14" i="34"/>
  <c r="N14" i="34"/>
  <c r="F32" i="9"/>
  <c r="I9" i="9"/>
  <c r="J9" i="9"/>
  <c r="F64" i="9"/>
  <c r="I10" i="34"/>
  <c r="H32" i="9"/>
  <c r="I22" i="9"/>
  <c r="F65" i="9"/>
  <c r="E52" i="6"/>
  <c r="M67" i="6"/>
  <c r="G27" i="6"/>
  <c r="G52" i="6"/>
  <c r="G67" i="6"/>
  <c r="G54" i="6"/>
  <c r="E9" i="25"/>
  <c r="Q27" i="6"/>
  <c r="J27" i="9"/>
  <c r="J25" i="9"/>
  <c r="J11" i="9"/>
  <c r="J16" i="9"/>
  <c r="J10" i="34"/>
  <c r="J19" i="9"/>
  <c r="J23" i="9"/>
  <c r="J26" i="9"/>
  <c r="F61" i="9"/>
  <c r="F66" i="9"/>
  <c r="J17" i="9"/>
  <c r="J13" i="9"/>
  <c r="J20" i="9"/>
  <c r="J28" i="9"/>
  <c r="J12" i="9"/>
  <c r="J29" i="9"/>
  <c r="J14" i="9"/>
  <c r="J18" i="9"/>
  <c r="J10" i="9"/>
  <c r="J24" i="9"/>
  <c r="I32" i="9"/>
  <c r="J22" i="9"/>
  <c r="J15" i="9"/>
  <c r="M85" i="6"/>
  <c r="G85" i="6"/>
  <c r="H10" i="34"/>
  <c r="N10" i="34"/>
  <c r="I50" i="6"/>
  <c r="I53" i="6"/>
  <c r="I55" i="6"/>
  <c r="I113" i="6"/>
  <c r="S55" i="6"/>
  <c r="I26" i="25"/>
  <c r="E43" i="25"/>
  <c r="G25" i="25"/>
  <c r="I30" i="25"/>
  <c r="D39" i="25"/>
  <c r="J26" i="25"/>
  <c r="L16" i="34"/>
  <c r="K53" i="6"/>
  <c r="O54" i="6"/>
  <c r="I87" i="6"/>
  <c r="O50" i="6"/>
  <c r="O87" i="6"/>
  <c r="N50" i="6"/>
  <c r="H87" i="6"/>
  <c r="N87" i="6"/>
  <c r="N54" i="6"/>
  <c r="H112" i="6"/>
  <c r="I27" i="25"/>
  <c r="M50" i="6"/>
  <c r="M54" i="6"/>
  <c r="G112" i="6"/>
  <c r="M87" i="6"/>
  <c r="G87" i="6"/>
  <c r="P87" i="6"/>
  <c r="J54" i="6"/>
  <c r="J112" i="6"/>
  <c r="J87" i="6"/>
  <c r="J50" i="6"/>
  <c r="Q87" i="6"/>
  <c r="S54" i="6"/>
  <c r="Q54" i="6"/>
  <c r="N52" i="6"/>
  <c r="I88" i="6"/>
  <c r="I28" i="25"/>
  <c r="Q50" i="6"/>
  <c r="Q52" i="6"/>
  <c r="K87" i="6"/>
  <c r="O88" i="6"/>
  <c r="H113" i="6"/>
  <c r="P52" i="6"/>
  <c r="H55" i="6"/>
  <c r="H27" i="6"/>
  <c r="E23" i="25"/>
  <c r="P56" i="6"/>
  <c r="N77" i="6"/>
  <c r="J55" i="6"/>
  <c r="J113" i="6"/>
  <c r="K16" i="34"/>
  <c r="J27" i="6"/>
  <c r="P85" i="6"/>
  <c r="J77" i="6"/>
  <c r="K54" i="6"/>
  <c r="D9" i="25"/>
  <c r="Q67" i="6"/>
  <c r="K27" i="6"/>
  <c r="I14" i="25"/>
  <c r="I11" i="25"/>
  <c r="K68" i="6"/>
  <c r="I54" i="6"/>
  <c r="I112" i="6"/>
  <c r="D10" i="25"/>
  <c r="G10" i="25"/>
  <c r="Q68" i="6"/>
  <c r="I27" i="6"/>
  <c r="S27" i="6"/>
  <c r="N85" i="6"/>
  <c r="H85" i="6"/>
  <c r="J27" i="25"/>
  <c r="J32" i="25"/>
  <c r="M52" i="6"/>
  <c r="G110" i="6"/>
  <c r="M53" i="6"/>
  <c r="G108" i="6"/>
  <c r="M108" i="6"/>
  <c r="N53" i="6"/>
  <c r="N108" i="6"/>
  <c r="H108" i="6"/>
  <c r="E39" i="25"/>
  <c r="Q53" i="6"/>
  <c r="M16" i="34"/>
  <c r="O16" i="34"/>
  <c r="Q108" i="6"/>
  <c r="K108" i="6"/>
  <c r="J25" i="25"/>
  <c r="I25" i="25"/>
  <c r="J28" i="25"/>
  <c r="J30" i="25"/>
  <c r="J37" i="25"/>
  <c r="J35" i="25"/>
  <c r="J36" i="25"/>
  <c r="D42" i="25"/>
  <c r="J31" i="25"/>
  <c r="J34" i="25"/>
  <c r="J33" i="25"/>
  <c r="J29" i="25"/>
  <c r="O108" i="6"/>
  <c r="I108" i="6"/>
  <c r="O53" i="6"/>
  <c r="O52" i="6"/>
  <c r="K112" i="6"/>
  <c r="J53" i="6"/>
  <c r="J56" i="6"/>
  <c r="J114" i="6"/>
  <c r="P108" i="6"/>
  <c r="J108" i="6"/>
  <c r="J85" i="6"/>
  <c r="H52" i="6"/>
  <c r="H110" i="6"/>
  <c r="H56" i="6"/>
  <c r="J52" i="6"/>
  <c r="J110" i="6"/>
  <c r="I10" i="25"/>
  <c r="J16" i="34"/>
  <c r="K56" i="6"/>
  <c r="D23" i="25"/>
  <c r="Q85" i="6"/>
  <c r="K52" i="6"/>
  <c r="K110" i="6"/>
  <c r="K85" i="6"/>
  <c r="S52" i="6"/>
  <c r="S56" i="6"/>
  <c r="I85" i="6"/>
  <c r="I52" i="6"/>
  <c r="O85" i="6"/>
  <c r="I56" i="6"/>
  <c r="G9" i="25"/>
  <c r="D43" i="25"/>
  <c r="G43" i="25"/>
  <c r="I16" i="34"/>
  <c r="N111" i="6"/>
  <c r="H111" i="6"/>
  <c r="N56" i="6"/>
  <c r="H114" i="6"/>
  <c r="I111" i="6"/>
  <c r="O111" i="6"/>
  <c r="O56" i="6"/>
  <c r="I114" i="6"/>
  <c r="I110" i="6"/>
  <c r="Q111" i="6"/>
  <c r="K111" i="6"/>
  <c r="Q56" i="6"/>
  <c r="K114" i="6"/>
  <c r="G39" i="25"/>
  <c r="I39" i="25"/>
  <c r="E42" i="25"/>
  <c r="G42" i="25"/>
  <c r="I42" i="25"/>
  <c r="E41" i="25"/>
  <c r="E45" i="25"/>
  <c r="G111" i="6"/>
  <c r="M111" i="6"/>
  <c r="M56" i="6"/>
  <c r="G114" i="6"/>
  <c r="J111" i="6"/>
  <c r="P111" i="6"/>
  <c r="I9" i="25"/>
  <c r="J9" i="25"/>
  <c r="J20" i="25"/>
  <c r="J12" i="25"/>
  <c r="J19" i="25"/>
  <c r="J15" i="25"/>
  <c r="J21" i="25"/>
  <c r="J13" i="25"/>
  <c r="J16" i="25"/>
  <c r="J17" i="25"/>
  <c r="D41" i="25"/>
  <c r="J18" i="25"/>
  <c r="G23" i="25"/>
  <c r="I23" i="25"/>
  <c r="J14" i="25"/>
  <c r="J11" i="25"/>
  <c r="H16" i="34"/>
  <c r="N16" i="34"/>
  <c r="J10" i="25"/>
  <c r="D45" i="25"/>
  <c r="G45" i="25"/>
  <c r="G41" i="25"/>
</calcChain>
</file>

<file path=xl/sharedStrings.xml><?xml version="1.0" encoding="utf-8"?>
<sst xmlns="http://schemas.openxmlformats.org/spreadsheetml/2006/main" count="851" uniqueCount="606">
  <si>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</si>
  <si>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</si>
  <si>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</si>
  <si>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</si>
  <si>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</si>
  <si>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</si>
  <si>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</si>
  <si>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</si>
  <si>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</si>
  <si>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</si>
  <si>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</si>
  <si>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</si>
  <si>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</si>
  <si>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</si>
  <si>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</si>
  <si>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</si>
  <si>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</si>
  <si>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</si>
  <si>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</si>
  <si>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</si>
  <si>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</si>
  <si>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</si>
  <si>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</si>
  <si>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</si>
  <si>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</si>
  <si>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</si>
  <si>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</si>
  <si>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</si>
  <si>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</si>
  <si>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</si>
  <si>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</si>
  <si>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</si>
  <si>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</si>
  <si>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</si>
  <si>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</si>
  <si>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</si>
  <si>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</si>
  <si>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</si>
  <si>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</si>
  <si>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</si>
  <si>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</si>
  <si>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</si>
  <si>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</si>
  <si>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</si>
  <si>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</si>
  <si>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</si>
  <si>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</si>
  <si>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</si>
  <si>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</si>
  <si>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</si>
  <si>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</si>
  <si>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</si>
  <si>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</si>
  <si>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</si>
  <si>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</si>
  <si>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</si>
  <si>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</si>
  <si>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</si>
  <si>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</si>
  <si>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</si>
  <si>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</si>
  <si>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</si>
  <si>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</si>
  <si>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</si>
  <si>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</si>
  <si>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</si>
  <si>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</si>
  <si>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</si>
  <si>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</si>
  <si>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</si>
  <si>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</si>
  <si>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</si>
  <si>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</si>
  <si>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</si>
  <si>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</si>
  <si>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</si>
  <si>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</si>
  <si>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</si>
  <si>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</si>
  <si>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</si>
  <si>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</si>
  <si>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</si>
  <si>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</si>
  <si>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</si>
  <si>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</si>
  <si>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</si>
  <si>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</si>
  <si>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</si>
  <si>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</si>
  <si>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</si>
  <si>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</si>
  <si>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</si>
  <si>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</si>
  <si>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</si>
  <si>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</si>
  <si>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</si>
  <si>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</si>
  <si>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</si>
  <si>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</si>
  <si>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</si>
  <si>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</si>
  <si>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</si>
  <si>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</si>
  <si>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</si>
  <si>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</si>
  <si>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</si>
  <si>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</si>
  <si>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</si>
  <si>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</si>
  <si>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</si>
  <si>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</si>
  <si>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</si>
  <si>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</si>
  <si>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</si>
  <si>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</si>
  <si>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</si>
  <si>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</si>
  <si>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</si>
  <si>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</si>
  <si>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</si>
  <si>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</si>
  <si>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</si>
  <si>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</si>
  <si>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</si>
  <si>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</si>
  <si>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</si>
  <si>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</si>
  <si>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</si>
  <si>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</si>
  <si>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</si>
  <si>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</si>
  <si>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</si>
  <si>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</si>
  <si>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</si>
  <si>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</si>
  <si>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</si>
  <si>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</si>
  <si>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</si>
  <si>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</si>
  <si>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</si>
  <si>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</si>
  <si>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</si>
  <si>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</si>
  <si>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</si>
  <si>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</si>
  <si>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</si>
  <si>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</si>
  <si>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</si>
  <si>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</si>
  <si>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</si>
  <si>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</si>
  <si>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</si>
  <si>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</si>
  <si>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</si>
  <si>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</si>
  <si>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</si>
  <si>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</si>
  <si>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</si>
  <si>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</si>
  <si>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</si>
  <si>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</si>
  <si>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</si>
  <si>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</si>
  <si>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</si>
  <si>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</si>
  <si>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</si>
  <si>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</si>
  <si>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</si>
  <si>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</si>
  <si>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</si>
  <si>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</si>
  <si>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</si>
  <si>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</si>
  <si>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</si>
  <si>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</si>
  <si>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</si>
  <si>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</si>
  <si>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</si>
  <si>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</si>
  <si>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</si>
  <si>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</si>
  <si>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</si>
  <si>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</si>
  <si>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</si>
  <si>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</si>
  <si>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</si>
  <si>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</si>
  <si>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</si>
  <si>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</si>
  <si>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</si>
  <si>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</si>
  <si>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</si>
  <si>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</si>
  <si>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</si>
  <si>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</si>
  <si>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</si>
  <si>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</si>
  <si>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</si>
  <si>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</si>
  <si>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</si>
  <si>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</si>
  <si>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</si>
  <si>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</si>
  <si>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</si>
  <si>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</si>
  <si>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</si>
  <si>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</si>
  <si>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</si>
  <si>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</si>
  <si>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</si>
  <si>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</si>
  <si>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</si>
  <si>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</si>
  <si>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</si>
  <si>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</si>
  <si>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</si>
  <si>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</si>
  <si>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</si>
  <si>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</si>
  <si>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</si>
  <si>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</si>
  <si>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</si>
  <si>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</si>
  <si>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</si>
  <si>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</si>
  <si>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</si>
  <si>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</si>
  <si>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</si>
  <si>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</si>
  <si>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</si>
  <si>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</si>
  <si>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</si>
  <si>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</si>
  <si>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</si>
  <si>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</si>
  <si>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</si>
  <si>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</si>
  <si>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</si>
  <si>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</si>
  <si>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</si>
  <si>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</si>
  <si>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</si>
  <si>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</si>
  <si>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</si>
  <si>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</si>
  <si>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</si>
  <si>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</si>
  <si>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</si>
  <si>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</si>
  <si>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</si>
  <si>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</si>
  <si>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</si>
  <si>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</si>
  <si>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</si>
  <si>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</si>
  <si>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</si>
  <si>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</si>
  <si>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</si>
  <si>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</si>
  <si>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</si>
  <si>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</si>
  <si>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</si>
  <si>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</si>
  <si>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</si>
  <si>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</si>
  <si>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</si>
  <si>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</si>
  <si>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</si>
  <si>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</si>
  <si>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</si>
  <si>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</si>
  <si>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</si>
  <si>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</si>
  <si>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</si>
  <si>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</si>
  <si>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</si>
  <si>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</si>
  <si>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</si>
  <si>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</si>
  <si>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</si>
  <si>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</si>
  <si>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</si>
  <si>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</si>
  <si>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</si>
  <si>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</si>
  <si>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</si>
  <si>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</si>
  <si>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</si>
  <si>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</si>
  <si>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</si>
  <si>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</si>
  <si>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</si>
  <si>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</si>
  <si>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</si>
  <si>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</si>
  <si>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</si>
  <si>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</si>
  <si>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</si>
  <si>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</si>
  <si>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</si>
  <si>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</si>
  <si>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</si>
  <si>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</si>
  <si>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</si>
  <si>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</si>
  <si>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</si>
  <si>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</si>
  <si>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</si>
  <si>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</si>
  <si>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</si>
  <si>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</si>
  <si>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</si>
  <si>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</si>
  <si>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</si>
  <si>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</si>
  <si>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</si>
  <si>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</si>
  <si>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</si>
  <si>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</si>
  <si>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</si>
  <si>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</si>
  <si>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</si>
  <si>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</si>
  <si>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</si>
  <si>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</si>
  <si>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</si>
  <si>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</si>
  <si>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</si>
  <si>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</si>
  <si>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</si>
  <si>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</si>
  <si>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</si>
  <si>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</si>
  <si>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</si>
  <si>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</si>
  <si>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</si>
  <si>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</si>
  <si>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</si>
  <si>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</si>
  <si>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</si>
  <si>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</si>
  <si>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</si>
  <si>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</si>
  <si>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</si>
  <si>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</si>
  <si>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</si>
  <si>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</si>
  <si>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</si>
  <si>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</si>
  <si>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</si>
  <si>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</si>
  <si>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</si>
  <si>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</si>
  <si>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</si>
  <si>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</si>
  <si>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</si>
  <si>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</si>
  <si>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</si>
  <si>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</si>
  <si>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</si>
  <si>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</si>
  <si>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</si>
  <si>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</si>
  <si>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</si>
  <si>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</si>
  <si>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</si>
  <si>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</si>
  <si>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</si>
  <si>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</si>
  <si>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</si>
  <si>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</si>
  <si>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</si>
  <si>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</si>
  <si>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</si>
  <si>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</si>
  <si>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</si>
  <si>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</si>
  <si>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</si>
  <si>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</si>
  <si>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</si>
  <si>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</si>
  <si>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</si>
  <si>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</si>
  <si>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</si>
  <si>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</si>
  <si>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</si>
  <si>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</si>
  <si>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</si>
  <si>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</si>
  <si>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</si>
  <si>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</si>
  <si>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</si>
  <si>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</si>
  <si>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</si>
  <si>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</si>
  <si>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</si>
  <si>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</si>
  <si>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</si>
  <si>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</si>
  <si>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</si>
  <si>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</si>
  <si>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</si>
  <si>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</si>
  <si>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</si>
  <si>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</si>
  <si>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</si>
  <si>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</si>
  <si>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</si>
  <si>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</si>
  <si>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</si>
  <si>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</si>
  <si>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</si>
  <si>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</si>
  <si>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</si>
  <si>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</si>
  <si>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</si>
  <si>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</si>
  <si>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</si>
  <si>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</si>
  <si>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</si>
  <si>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</si>
  <si>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</si>
  <si>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</si>
  <si>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</si>
  <si>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</si>
  <si>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</si>
  <si>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</si>
  <si>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</si>
  <si>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</si>
  <si>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</si>
  <si>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</si>
  <si>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</si>
  <si>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</si>
  <si>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</si>
  <si>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</si>
  <si>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</si>
  <si>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</si>
  <si>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</si>
  <si>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</si>
  <si>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</si>
  <si>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</si>
  <si>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</si>
  <si>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</si>
  <si>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</si>
  <si>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</si>
  <si>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</si>
  <si>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</si>
  <si>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</si>
  <si>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</si>
  <si>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</si>
  <si>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</si>
  <si>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</si>
  <si>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</si>
  <si>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</si>
  <si>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</si>
  <si>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</si>
  <si>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</si>
  <si>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</si>
  <si>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</si>
  <si>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</si>
  <si>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</si>
  <si>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</si>
  <si>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</si>
  <si>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</si>
  <si>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</si>
  <si>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</si>
  <si>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</si>
  <si>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</si>
  <si>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</si>
  <si>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</si>
  <si>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</si>
  <si>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</si>
  <si>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</si>
  <si>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</si>
  <si>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</si>
  <si>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</si>
  <si>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</si>
  <si>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</si>
  <si>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</si>
  <si>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</si>
  <si>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</si>
  <si>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</si>
  <si>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</si>
  <si>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</si>
  <si>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</si>
  <si>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</si>
  <si>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</si>
  <si>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</si>
  <si>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</si>
  <si>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</si>
  <si>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</si>
  <si>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</si>
  <si>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</si>
  <si>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</si>
  <si>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</si>
  <si>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</si>
  <si>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</si>
  <si>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</si>
  <si>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</si>
  <si>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</si>
  <si>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</si>
  <si>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</si>
  <si>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</si>
  <si>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</si>
  <si>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</si>
  <si>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</si>
  <si>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</si>
  <si>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</si>
  <si>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</si>
  <si>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</si>
  <si>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</si>
  <si>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</si>
  <si>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</si>
  <si>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</si>
  <si>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</si>
  <si>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</si>
  <si>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</si>
  <si>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</si>
  <si>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</si>
  <si>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</si>
  <si>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</si>
  <si>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</si>
  <si>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</si>
  <si>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</si>
  <si>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</si>
  <si>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</si>
  <si>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</si>
  <si>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</si>
  <si>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</si>
  <si>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</si>
  <si>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</si>
  <si>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</si>
  <si>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</si>
  <si>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</si>
  <si>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</si>
  <si>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</si>
  <si>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</si>
  <si>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</si>
  <si>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</si>
  <si>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</si>
  <si>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</si>
  <si>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</si>
  <si>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</si>
  <si>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</si>
  <si>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</si>
  <si>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</si>
  <si>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</si>
  <si>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</si>
  <si>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</si>
  <si>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</si>
  <si>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</si>
  <si>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</si>
  <si>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</si>
  <si>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</si>
  <si>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</si>
  <si>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</si>
  <si>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</si>
  <si>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</si>
  <si>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</si>
  <si>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</si>
  <si>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</si>
  <si>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</si>
  <si>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</si>
  <si>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</si>
  <si>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</si>
  <si>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</si>
  <si>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</si>
  <si>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</si>
  <si>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</si>
  <si>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</si>
  <si>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</si>
  <si>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</si>
  <si>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</si>
  <si>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</si>
  <si>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</si>
  <si>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</si>
  <si>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</si>
  <si>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</si>
  <si>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</si>
  <si>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</si>
  <si>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</si>
  <si>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Banif, S.A.; Fundação para o Desenvolvimento Ciências Económicas Financeiras e Empresariais.</t>
  </si>
  <si>
    <t>FORÇA AÉREA a)</t>
  </si>
  <si>
    <t>c) PARUPS, S.A. - Entidade extinta</t>
  </si>
  <si>
    <r>
      <t xml:space="preserve">Parups, S.A. (5781)  </t>
    </r>
    <r>
      <rPr>
        <b/>
        <sz val="8"/>
        <color rgb="FF000000"/>
        <rFont val="Calibri"/>
        <family val="2"/>
        <scheme val="minor"/>
      </rPr>
      <t xml:space="preserve">     c)</t>
    </r>
  </si>
  <si>
    <t>Os valores apresentados nas colunas dos diversos subsetores encontram-se expurgados dos montantes consolidados no âmbito das Administrações Públicas.</t>
  </si>
  <si>
    <t>Fonte:</t>
  </si>
  <si>
    <t>O valor do impacto orçamental da medida de isenção de pagamento da Taxa Social Única consiste numa estimativa apurada pelo Instituto de Gestão Financeira da Segurança Social, I.P..</t>
  </si>
  <si>
    <t>Os dados da Administração Regional e Local são provisórios.</t>
  </si>
  <si>
    <r>
      <t xml:space="preserve">Fundo de Eficiência Energética (5028)    </t>
    </r>
    <r>
      <rPr>
        <b/>
        <sz val="8"/>
        <color rgb="FF000000"/>
        <rFont val="Calibri"/>
        <family val="2"/>
        <scheme val="minor"/>
      </rPr>
      <t>d)</t>
    </r>
  </si>
  <si>
    <r>
      <t xml:space="preserve">Fundo Florestal Permanente (5883)       </t>
    </r>
    <r>
      <rPr>
        <b/>
        <sz val="8"/>
        <color rgb="FF000000"/>
        <rFont val="Calibri"/>
        <family val="2"/>
        <scheme val="minor"/>
      </rPr>
      <t>d)</t>
    </r>
  </si>
  <si>
    <r>
      <t xml:space="preserve">Fundo para a Sustentabilidade Sistémica do Setor Energético (5941)    </t>
    </r>
    <r>
      <rPr>
        <b/>
        <sz val="8"/>
        <color rgb="FF000000"/>
        <rFont val="Calibri"/>
        <family val="2"/>
        <scheme val="minor"/>
      </rPr>
      <t xml:space="preserve"> d)</t>
    </r>
  </si>
  <si>
    <t>d) O Decreto-Lei n.º 114/2021, de 15 de dezembro, determinou a fusão do Fundo Florestal Permanente, do Fundo de Eficiência Energética e do Fundo para a Sustentabilidade Sistémica do Setor Energético no Fundo Ambiental</t>
  </si>
  <si>
    <t>nov</t>
  </si>
  <si>
    <t>,Entidades Coordenadoras dos Programas, Direção Regional do Orçamento e Tesouro da Região Autónoma dos Açores, Direção Regional do Orçamento e Tesouro da Região Autónoma da Madeira e Direção-Geral das Autarquias Locais.</t>
  </si>
  <si>
    <t>Coordinating entities of the Budgetaries Programs, Azores Autonomous Region Budget and Treasury Regional Directorate, Madeira Autonomous Region Budget and Treasury Regional Directorate and Directorate-General for Local Authorities</t>
  </si>
  <si>
    <t>dez</t>
  </si>
  <si>
    <t>Educação: Recursos humanos (Apoio à consolidação das aprendizagens)</t>
  </si>
  <si>
    <t>D.01- Desp. c/ pessoal</t>
  </si>
  <si>
    <t>Recursos humanos (Apoio à consolidação das aprendizagens)</t>
  </si>
  <si>
    <t>MARINHA a)</t>
  </si>
  <si>
    <t>Due to technical reasons, the budget implementation data regarding the Air Force for september 2022, was not fully transposed from the local to the central budget information systems. The required information was later sent by the aforementioned entity.</t>
  </si>
  <si>
    <t>Por motivos de ordem técnica, a execução orçamental da Força Aérea e Marinha, relativa a dezembro de 2022, não foi apropriada integralmente pelos sistemas orçamentais centrais, tendo a entidade enviado, posteriormente, a devida informação.</t>
  </si>
  <si>
    <t>Due to technical reasons, the budget implementation data regarding the Air Force and Mavy for december 2022, was not fully transposed from the local to the central budget information systems. The required information was later sent by the aforementioned entity.</t>
  </si>
  <si>
    <t xml:space="preserve">Apoios à Economia </t>
  </si>
  <si>
    <t>Nota: A informação relativa a dezembro de 2021 corresponde aos dados mais recentes disponibilizados pela ACSS, 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</si>
</sst>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10">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right style="dashed">
        <color indexed="12"/>
      </right>
      <top style="thin">
        <color indexed="12"/>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rgb="FF3015D5"/>
      </left>
      <right style="dashed">
        <color rgb="FF3015D5"/>
      </right>
      <top style="thin">
        <color indexed="12"/>
      </top>
      <bottom style="thin">
        <color indexed="12"/>
      </bottom>
      <diagonal/>
    </border>
    <border>
      <left style="dashed">
        <color indexed="12"/>
      </left>
      <right/>
      <top style="thin">
        <color indexed="12"/>
      </top>
      <bottom/>
      <diagonal/>
    </border>
    <border>
      <left style="dashed">
        <color indexed="12"/>
      </left>
      <right/>
      <top/>
      <bottom/>
      <diagonal/>
    </border>
    <border>
      <left style="dashed">
        <color indexed="12"/>
      </left>
      <right/>
      <top/>
      <bottom style="thin">
        <color indexed="12"/>
      </bottom>
      <diagonal/>
    </border>
    <border>
      <left style="dashed">
        <color indexed="12"/>
      </left>
      <right/>
      <top style="thin">
        <color indexed="12"/>
      </top>
      <bottom style="thin">
        <color indexed="64"/>
      </bottom>
      <diagonal/>
    </border>
  </borders>
  <cellStyleXfs count="2821">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820">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1" fontId="11" fillId="0" borderId="0" xfId="22" applyNumberFormat="1" applyFill="1"/>
    <xf numFmtId="171" fontId="50" fillId="0" borderId="0" xfId="25" applyNumberFormat="1" applyFont="1" applyFill="1"/>
    <xf numFmtId="4" fontId="5" fillId="0" borderId="0" xfId="24" applyNumberForma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2" xfId="1" applyNumberFormat="1" applyFont="1" applyFill="1" applyBorder="1" applyAlignment="1">
      <alignment vertical="center"/>
    </xf>
    <xf numFmtId="0" fontId="237" fillId="0" borderId="98"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165" fontId="51" fillId="0" borderId="0" xfId="12" applyNumberFormat="1" applyFont="1" applyFill="1" applyAlignment="1">
      <alignment horizontal="left" vertical="center" wrapText="1"/>
    </xf>
    <xf numFmtId="183" fontId="40" fillId="0" borderId="0" xfId="19" applyNumberFormat="1" applyFont="1" applyFill="1"/>
    <xf numFmtId="4" fontId="11" fillId="0" borderId="0" xfId="22" applyNumberFormat="1" applyFill="1" applyBorder="1"/>
    <xf numFmtId="175" fontId="29" fillId="3" borderId="0" xfId="21" applyNumberFormat="1" applyFont="1" applyFill="1" applyAlignment="1">
      <alignment vertical="center"/>
    </xf>
    <xf numFmtId="172" fontId="40" fillId="0" borderId="0" xfId="19" applyNumberFormat="1" applyFont="1" applyFill="1"/>
    <xf numFmtId="0" fontId="4" fillId="0" borderId="0" xfId="19" applyFont="1" applyFill="1" applyAlignment="1">
      <alignment horizontal="left" vertical="top" wrapText="1"/>
    </xf>
    <xf numFmtId="172" fontId="50" fillId="3" borderId="0" xfId="30" applyNumberFormat="1" applyFont="1" applyFill="1"/>
    <xf numFmtId="165" fontId="24" fillId="0" borderId="0" xfId="15" applyNumberFormat="1" applyFont="1" applyFill="1" applyBorder="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11" fillId="0" borderId="0" xfId="18"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43" fontId="191" fillId="3" borderId="0" xfId="42" applyFont="1" applyFill="1"/>
    <xf numFmtId="0" fontId="50" fillId="0" borderId="0" xfId="0" applyFont="1" applyFill="1"/>
    <xf numFmtId="43" fontId="0" fillId="0" borderId="0" xfId="42" applyFont="1"/>
    <xf numFmtId="43" fontId="73" fillId="0" borderId="0" xfId="42" applyFont="1" applyFill="1" applyAlignment="1">
      <alignment vertical="center"/>
    </xf>
    <xf numFmtId="185" fontId="0" fillId="0" borderId="0" xfId="0" applyNumberFormat="1"/>
    <xf numFmtId="169" fontId="193" fillId="0" borderId="0" xfId="18" applyNumberFormat="1" applyFont="1" applyFill="1"/>
    <xf numFmtId="169" fontId="27" fillId="0" borderId="0" xfId="18" applyNumberFormat="1" applyFont="1" applyFill="1"/>
    <xf numFmtId="165" fontId="30" fillId="0" borderId="9" xfId="12" quotePrefix="1" applyNumberFormat="1" applyFont="1" applyFill="1" applyBorder="1" applyAlignment="1" applyProtection="1">
      <alignment horizontal="center" vertical="center" wrapText="1"/>
      <protection locked="0"/>
    </xf>
    <xf numFmtId="0" fontId="29" fillId="0" borderId="9" xfId="9" quotePrefix="1" applyFont="1" applyFill="1" applyBorder="1" applyAlignment="1" applyProtection="1">
      <alignment horizontal="center" vertical="center"/>
      <protection locked="0"/>
    </xf>
    <xf numFmtId="171" fontId="21" fillId="0" borderId="0" xfId="16" applyNumberFormat="1" applyFont="1" applyFill="1"/>
    <xf numFmtId="4" fontId="192" fillId="0" borderId="0" xfId="18" applyNumberFormat="1" applyFont="1" applyFill="1"/>
    <xf numFmtId="165" fontId="35" fillId="0" borderId="0" xfId="9" applyNumberFormat="1" applyFont="1" applyFill="1" applyAlignment="1" applyProtection="1">
      <protection locked="0"/>
    </xf>
    <xf numFmtId="165" fontId="35" fillId="0" borderId="0" xfId="12" applyNumberFormat="1" applyFont="1" applyFill="1" applyBorder="1" applyAlignment="1" applyProtection="1">
      <alignment vertical="center"/>
      <protection locked="0"/>
    </xf>
    <xf numFmtId="165" fontId="30" fillId="0" borderId="0"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6" fillId="0" borderId="0" xfId="9" applyNumberFormat="1" applyFont="1" applyFill="1" applyAlignment="1" applyProtection="1">
      <alignment vertical="center"/>
      <protection locked="0"/>
    </xf>
    <xf numFmtId="165" fontId="29" fillId="0" borderId="12" xfId="12" applyNumberFormat="1" applyFont="1" applyFill="1" applyBorder="1" applyAlignment="1" applyProtection="1">
      <alignment vertical="center"/>
      <protection locked="0"/>
    </xf>
    <xf numFmtId="165" fontId="218" fillId="0" borderId="0" xfId="2320" applyNumberFormat="1"/>
    <xf numFmtId="183" fontId="218" fillId="0" borderId="0" xfId="2320" applyNumberFormat="1"/>
    <xf numFmtId="184" fontId="218" fillId="0" borderId="0" xfId="2320" applyNumberFormat="1"/>
    <xf numFmtId="165" fontId="10" fillId="0" borderId="0" xfId="5" applyNumberFormat="1" applyFont="1" applyFill="1" applyBorder="1" applyAlignment="1">
      <alignment vertical="center"/>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220" fillId="3" borderId="0" xfId="2320" applyFont="1" applyFill="1"/>
    <xf numFmtId="0" fontId="50" fillId="0" borderId="0" xfId="0" applyFont="1" applyFill="1" applyAlignment="1">
      <alignment horizontal="left" wrapText="1"/>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243" fontId="48" fillId="0" borderId="82" xfId="0" quotePrefix="1" applyNumberFormat="1" applyFont="1" applyFill="1" applyBorder="1" applyAlignment="1">
      <alignment horizontal="center"/>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243" fontId="48" fillId="0" borderId="81" xfId="0" quotePrefix="1" applyNumberFormat="1" applyFont="1" applyFill="1" applyBorder="1" applyAlignment="1">
      <alignment horizontal="center"/>
    </xf>
    <xf numFmtId="0" fontId="29" fillId="0" borderId="81" xfId="0" applyFont="1" applyFill="1" applyBorder="1" applyAlignment="1">
      <alignment horizontal="left" indent="2"/>
    </xf>
    <xf numFmtId="243" fontId="21" fillId="0" borderId="81" xfId="0" quotePrefix="1" applyNumberFormat="1" applyFont="1" applyFill="1" applyBorder="1" applyAlignment="1">
      <alignment horizontal="center"/>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243" fontId="48" fillId="0" borderId="0" xfId="0" quotePrefix="1" applyNumberFormat="1" applyFont="1" applyFill="1" applyBorder="1" applyAlignment="1">
      <alignment horizontal="center"/>
    </xf>
    <xf numFmtId="0" fontId="213" fillId="0" borderId="83" xfId="0" applyFont="1" applyFill="1" applyBorder="1" applyAlignment="1">
      <alignment vertical="top" wrapText="1"/>
    </xf>
    <xf numFmtId="0" fontId="213" fillId="0" borderId="0" xfId="0" applyFont="1" applyFill="1" applyAlignment="1">
      <alignment vertical="top" wrapText="1"/>
    </xf>
    <xf numFmtId="243" fontId="48" fillId="0" borderId="83"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0" fontId="40" fillId="0" borderId="12" xfId="19" applyFont="1" applyFill="1" applyBorder="1"/>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0" fontId="3" fillId="0" borderId="0" xfId="2320" applyFont="1" applyFill="1"/>
    <xf numFmtId="165" fontId="1" fillId="0" borderId="0" xfId="2320" applyNumberFormat="1" applyFont="1" applyFill="1"/>
    <xf numFmtId="165" fontId="3" fillId="0" borderId="0" xfId="2320" applyNumberFormat="1" applyFont="1" applyFill="1" applyAlignment="1">
      <alignment horizontal="right"/>
    </xf>
    <xf numFmtId="165" fontId="3" fillId="0" borderId="0" xfId="2320" applyNumberFormat="1" applyFont="1" applyFill="1"/>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165" fontId="30" fillId="3" borderId="9" xfId="12" quotePrefix="1" applyNumberFormat="1" applyFont="1" applyFill="1" applyBorder="1" applyAlignment="1" applyProtection="1">
      <alignment horizontal="center" vertical="center" wrapText="1"/>
      <protection locked="0"/>
    </xf>
    <xf numFmtId="0" fontId="21" fillId="3" borderId="12" xfId="18" applyFont="1" applyFill="1" applyBorder="1"/>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21" fillId="3" borderId="0" xfId="18" applyNumberFormat="1" applyFont="1" applyFill="1" applyBorder="1"/>
    <xf numFmtId="165" fontId="21" fillId="3" borderId="0" xfId="18" applyNumberFormat="1" applyFont="1" applyFill="1" applyBorder="1" applyAlignment="1">
      <alignment horizontal="right"/>
    </xf>
    <xf numFmtId="165" fontId="21" fillId="3" borderId="0" xfId="18" applyNumberFormat="1" applyFont="1" applyFill="1" applyBorder="1" applyAlignment="1">
      <alignment horizontal="left"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4" applyNumberFormat="1" applyFont="1" applyFill="1" applyBorder="1" applyAlignment="1"/>
    <xf numFmtId="165" fontId="46" fillId="3" borderId="11" xfId="18" applyNumberFormat="1" applyFont="1" applyFill="1" applyBorder="1" applyAlignment="1"/>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22" fillId="3" borderId="0" xfId="14" applyNumberFormat="1" applyFont="1" applyFill="1" applyBorder="1" applyAlignment="1"/>
    <xf numFmtId="0" fontId="21" fillId="3" borderId="0" xfId="18" applyFont="1" applyFill="1" applyBorder="1" applyAlignment="1"/>
    <xf numFmtId="165" fontId="42" fillId="3" borderId="0" xfId="18" applyNumberFormat="1" applyFont="1" applyFill="1" applyBorder="1"/>
    <xf numFmtId="165" fontId="21" fillId="3" borderId="0" xfId="18" applyNumberFormat="1" applyFont="1" applyFill="1" applyBorder="1" applyAlignment="1">
      <alignment horizontal="left" vertical="center" indent="1"/>
    </xf>
    <xf numFmtId="165" fontId="21" fillId="3" borderId="0" xfId="18" applyNumberFormat="1" applyFont="1" applyFill="1" applyBorder="1" applyAlignment="1">
      <alignment vertical="center"/>
    </xf>
    <xf numFmtId="0" fontId="21" fillId="3" borderId="0" xfId="18" applyFont="1" applyFill="1" applyBorder="1" applyAlignment="1">
      <alignment vertical="center"/>
    </xf>
    <xf numFmtId="165" fontId="21" fillId="3" borderId="0" xfId="18" applyNumberFormat="1" applyFont="1" applyFill="1" applyBorder="1" applyAlignment="1">
      <alignment horizontal="right" vertical="center"/>
    </xf>
    <xf numFmtId="165" fontId="21" fillId="3" borderId="0" xfId="18" applyNumberFormat="1" applyFont="1" applyFill="1" applyBorder="1" applyAlignment="1">
      <alignment horizontal="left" vertical="center" indent="2"/>
    </xf>
    <xf numFmtId="165" fontId="21" fillId="3" borderId="12" xfId="18" applyNumberFormat="1" applyFont="1" applyFill="1" applyBorder="1" applyAlignment="1">
      <alignment horizontal="left" vertical="center" indent="1"/>
    </xf>
    <xf numFmtId="165" fontId="21" fillId="3" borderId="12" xfId="18" applyNumberFormat="1" applyFont="1" applyFill="1" applyBorder="1" applyAlignment="1">
      <alignment horizontal="right" vertical="center"/>
    </xf>
    <xf numFmtId="165" fontId="21" fillId="3" borderId="12" xfId="18" applyNumberFormat="1" applyFont="1" applyFill="1" applyBorder="1" applyAlignment="1">
      <alignment horizontal="center" vertical="center"/>
    </xf>
    <xf numFmtId="0" fontId="43" fillId="3" borderId="0" xfId="18" applyFont="1" applyFill="1"/>
    <xf numFmtId="194" fontId="21" fillId="3" borderId="0" xfId="13" applyNumberFormat="1" applyFont="1" applyFill="1"/>
    <xf numFmtId="193" fontId="29" fillId="3" borderId="0" xfId="21" applyNumberFormat="1" applyFont="1" applyFill="1" applyBorder="1"/>
    <xf numFmtId="193" fontId="29" fillId="3" borderId="0" xfId="21" applyNumberFormat="1" applyFont="1" applyFill="1" applyBorder="1" applyAlignment="1">
      <alignment vertical="center"/>
    </xf>
    <xf numFmtId="193" fontId="35" fillId="3" borderId="0" xfId="21" applyNumberFormat="1" applyFont="1" applyFill="1" applyBorder="1" applyAlignment="1">
      <alignment horizontal="right"/>
    </xf>
    <xf numFmtId="193" fontId="35" fillId="3" borderId="11" xfId="21" applyNumberFormat="1" applyFont="1" applyFill="1" applyBorder="1" applyAlignment="1">
      <alignment horizontal="right"/>
    </xf>
    <xf numFmtId="193" fontId="29" fillId="3" borderId="0" xfId="21" applyNumberFormat="1" applyFont="1" applyFill="1" applyBorder="1" applyAlignment="1">
      <alignment horizontal="right" vertical="center"/>
    </xf>
    <xf numFmtId="193" fontId="35" fillId="3" borderId="11" xfId="21" applyNumberFormat="1" applyFont="1" applyFill="1" applyBorder="1" applyAlignment="1">
      <alignment horizontal="right" vertical="center"/>
    </xf>
    <xf numFmtId="165" fontId="29" fillId="3" borderId="0" xfId="12" applyNumberFormat="1" applyFont="1" applyFill="1" applyBorder="1" applyAlignment="1">
      <alignment vertical="center"/>
    </xf>
    <xf numFmtId="165" fontId="21" fillId="3" borderId="12" xfId="18" applyNumberFormat="1" applyFont="1" applyFill="1" applyBorder="1" applyAlignment="1">
      <alignment horizontal="right"/>
    </xf>
    <xf numFmtId="4" fontId="0" fillId="3" borderId="0" xfId="21" applyNumberFormat="1" applyFont="1" applyFill="1"/>
    <xf numFmtId="175" fontId="29" fillId="3" borderId="0" xfId="21" applyNumberFormat="1" applyFont="1" applyFill="1"/>
    <xf numFmtId="175" fontId="50" fillId="3" borderId="0" xfId="21" applyNumberFormat="1" applyFont="1" applyFill="1"/>
    <xf numFmtId="171" fontId="30" fillId="3" borderId="0" xfId="14" applyNumberFormat="1" applyFont="1" applyFill="1" applyAlignment="1">
      <alignment vertical="center"/>
    </xf>
    <xf numFmtId="175" fontId="30" fillId="3" borderId="0" xfId="21" applyNumberFormat="1" applyFont="1" applyFill="1" applyAlignment="1">
      <alignment vertical="center"/>
    </xf>
    <xf numFmtId="171" fontId="49" fillId="3" borderId="0" xfId="25" applyNumberFormat="1" applyFont="1" applyFill="1"/>
    <xf numFmtId="4" fontId="5" fillId="3" borderId="0" xfId="24" applyNumberFormat="1" applyFill="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71" fontId="29" fillId="3" borderId="0" xfId="12" applyNumberFormat="1" applyFont="1" applyFill="1" applyBorder="1" applyAlignment="1">
      <alignment horizontal="left" vertical="center" indent="1"/>
    </xf>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75" fontId="21" fillId="3" borderId="0" xfId="21" applyNumberFormat="1" applyFont="1" applyFill="1" applyAlignment="1">
      <alignment vertical="center"/>
    </xf>
    <xf numFmtId="1" fontId="30" fillId="0" borderId="10" xfId="18" quotePrefix="1" applyNumberFormat="1" applyFont="1" applyFill="1" applyBorder="1" applyAlignment="1" applyProtection="1">
      <alignment horizontal="center" vertical="center" wrapText="1"/>
      <protection locked="0"/>
    </xf>
    <xf numFmtId="2" fontId="40" fillId="0" borderId="0" xfId="19" applyNumberFormat="1" applyFont="1" applyFill="1" applyAlignment="1">
      <alignment horizontal="justify" vertical="justify" wrapText="1"/>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99"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0"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43" fillId="0" borderId="0" xfId="12" applyNumberFormat="1" applyFont="1" applyFill="1" applyAlignment="1">
      <alignment vertical="center"/>
    </xf>
    <xf numFmtId="165" fontId="21" fillId="0" borderId="0" xfId="12" applyNumberFormat="1" applyFont="1" applyFill="1" applyBorder="1" applyAlignment="1" applyProtection="1">
      <alignment vertical="center"/>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29" fillId="0" borderId="12" xfId="9" applyNumberFormat="1" applyFont="1" applyFill="1" applyBorder="1" applyAlignment="1" applyProtection="1">
      <alignment horizontal="left" vertical="center" indent="1"/>
      <protection locked="0"/>
    </xf>
    <xf numFmtId="176" fontId="29" fillId="0" borderId="0" xfId="11" applyNumberFormat="1" applyFont="1" applyFill="1" applyProtection="1">
      <protection locked="0"/>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12" xfId="12" applyNumberFormat="1" applyFont="1" applyFill="1" applyBorder="1" applyAlignment="1">
      <alignment vertical="center"/>
    </xf>
    <xf numFmtId="165" fontId="21" fillId="0" borderId="12" xfId="12" applyNumberFormat="1" applyFont="1" applyFill="1" applyBorder="1" applyAlignment="1">
      <alignmen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195" fillId="0" borderId="0" xfId="41" applyFont="1" applyFill="1" applyBorder="1"/>
    <xf numFmtId="0" fontId="194" fillId="0" borderId="0" xfId="18" applyFont="1" applyFill="1" applyBorder="1"/>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5" fillId="0" borderId="0" xfId="12" applyNumberFormat="1" applyFont="1" applyFill="1" applyBorder="1" applyAlignment="1">
      <alignment horizontal="center"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3" fontId="21" fillId="0" borderId="0" xfId="2751" applyNumberFormat="1" applyFont="1" applyFill="1" applyAlignment="1">
      <alignment vertical="center"/>
    </xf>
    <xf numFmtId="165" fontId="21" fillId="0" borderId="0" xfId="2751" applyNumberFormat="1" applyFont="1" applyFill="1" applyAlignment="1">
      <alignment vertical="center"/>
    </xf>
    <xf numFmtId="3" fontId="21" fillId="0" borderId="0" xfId="2786" applyNumberFormat="1" applyFont="1" applyFill="1" applyAlignment="1">
      <alignment vertical="center"/>
    </xf>
    <xf numFmtId="165" fontId="21" fillId="0" borderId="0" xfId="2786"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21" fillId="0" borderId="0" xfId="2783" applyNumberFormat="1" applyFont="1" applyFill="1" applyAlignment="1">
      <alignment vertical="center"/>
    </xf>
    <xf numFmtId="165" fontId="21" fillId="0" borderId="0" xfId="0" applyNumberFormat="1" applyFont="1" applyFill="1" applyAlignment="1">
      <alignment vertical="center"/>
    </xf>
    <xf numFmtId="165" fontId="21" fillId="0" borderId="0" xfId="2818"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3" fontId="21" fillId="0" borderId="0" xfId="2784" applyNumberFormat="1" applyFont="1" applyFill="1" applyAlignment="1">
      <alignment vertical="center"/>
    </xf>
    <xf numFmtId="4" fontId="21" fillId="0" borderId="0" xfId="2784" applyNumberFormat="1" applyFont="1" applyFill="1" applyAlignment="1">
      <alignment vertical="center"/>
    </xf>
    <xf numFmtId="165" fontId="21" fillId="0" borderId="0" xfId="2784" applyNumberFormat="1" applyFont="1" applyFill="1" applyAlignment="1">
      <alignment vertical="center"/>
    </xf>
    <xf numFmtId="165" fontId="21" fillId="0" borderId="0" xfId="2784" applyNumberFormat="1" applyFont="1" applyFill="1" applyBorder="1" applyAlignment="1">
      <alignment vertical="center"/>
    </xf>
    <xf numFmtId="3" fontId="21" fillId="0" borderId="0" xfId="2819" applyNumberFormat="1" applyFont="1" applyFill="1" applyAlignment="1">
      <alignment vertical="center"/>
    </xf>
    <xf numFmtId="4" fontId="21" fillId="0" borderId="0" xfId="2819" applyNumberFormat="1" applyFont="1" applyFill="1" applyAlignment="1">
      <alignment vertical="center"/>
    </xf>
    <xf numFmtId="165" fontId="21" fillId="0" borderId="0" xfId="2819" applyNumberFormat="1" applyFont="1" applyFill="1" applyAlignment="1">
      <alignment vertical="center"/>
    </xf>
    <xf numFmtId="165" fontId="21" fillId="0" borderId="0" xfId="2819"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1" fillId="0" borderId="0" xfId="2785" applyNumberFormat="1" applyFont="1" applyFill="1" applyAlignment="1">
      <alignment vertical="center"/>
    </xf>
    <xf numFmtId="165" fontId="21" fillId="0" borderId="0" xfId="2785" applyNumberFormat="1" applyFont="1" applyFill="1" applyBorder="1" applyAlignment="1">
      <alignment vertical="center"/>
    </xf>
    <xf numFmtId="165" fontId="21" fillId="0" borderId="0" xfId="2820" applyNumberFormat="1" applyFont="1" applyFill="1" applyAlignment="1">
      <alignment vertical="center"/>
    </xf>
    <xf numFmtId="165" fontId="21" fillId="0" borderId="0" xfId="2820"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74" fontId="192" fillId="0" borderId="0" xfId="11" applyNumberFormat="1" applyFont="1" applyFill="1" applyAlignment="1">
      <alignment vertical="center"/>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4" fontId="1" fillId="0" borderId="0" xfId="2320" applyNumberFormat="1" applyFont="1" applyFill="1"/>
    <xf numFmtId="0" fontId="24" fillId="0" borderId="11" xfId="2320" applyFont="1" applyFill="1" applyBorder="1"/>
    <xf numFmtId="4" fontId="24" fillId="0" borderId="11" xfId="2320" applyNumberFormat="1" applyFont="1" applyFill="1" applyBorder="1"/>
    <xf numFmtId="165" fontId="24" fillId="0" borderId="11" xfId="2320" applyNumberFormat="1" applyFont="1" applyFill="1" applyBorder="1"/>
    <xf numFmtId="0" fontId="24" fillId="0" borderId="0" xfId="2320" applyFont="1" applyFill="1" applyBorder="1"/>
    <xf numFmtId="0" fontId="34" fillId="0" borderId="11" xfId="2320" applyFont="1" applyFill="1" applyBorder="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0" fontId="1" fillId="0" borderId="0" xfId="2320" applyFont="1" applyFill="1" applyAlignment="1">
      <alignment wrapText="1"/>
    </xf>
    <xf numFmtId="0" fontId="1" fillId="0" borderId="0" xfId="2320" applyFont="1" applyFill="1" applyAlignment="1">
      <alignment vertical="center"/>
    </xf>
    <xf numFmtId="165" fontId="217" fillId="0" borderId="84" xfId="2320" applyNumberFormat="1" applyFont="1" applyFill="1" applyBorder="1" applyAlignment="1">
      <alignment horizontal="center" vertical="center" wrapText="1"/>
    </xf>
    <xf numFmtId="0" fontId="217" fillId="0" borderId="11" xfId="2320" applyFont="1" applyFill="1" applyBorder="1" applyAlignment="1">
      <alignment horizontal="left" vertical="center" indent="3"/>
    </xf>
    <xf numFmtId="0" fontId="217" fillId="0" borderId="11" xfId="2320" applyFont="1" applyFill="1" applyBorder="1" applyAlignment="1">
      <alignment horizontal="center" vertical="center"/>
    </xf>
    <xf numFmtId="0" fontId="217" fillId="0" borderId="0" xfId="2320" applyFont="1" applyFill="1" applyAlignment="1">
      <alignment horizontal="left" vertical="center" indent="3"/>
    </xf>
    <xf numFmtId="0" fontId="217" fillId="0" borderId="0" xfId="2320" applyFont="1" applyFill="1" applyAlignment="1">
      <alignment horizontal="center" vertical="center"/>
    </xf>
    <xf numFmtId="0" fontId="1" fillId="0" borderId="0" xfId="2320" applyFont="1" applyFill="1" applyAlignment="1">
      <alignment horizontal="left" indent="3"/>
    </xf>
    <xf numFmtId="165" fontId="21" fillId="0" borderId="0" xfId="2320" applyNumberFormat="1" applyFont="1" applyFill="1"/>
    <xf numFmtId="165" fontId="217" fillId="0" borderId="0" xfId="2320" applyNumberFormat="1" applyFont="1" applyFill="1"/>
    <xf numFmtId="165" fontId="25" fillId="0" borderId="0" xfId="2320" applyNumberFormat="1" applyFont="1" applyFill="1"/>
    <xf numFmtId="165" fontId="217" fillId="0" borderId="0" xfId="2320" applyNumberFormat="1" applyFont="1" applyFill="1" applyAlignment="1">
      <alignment horizontal="right"/>
    </xf>
    <xf numFmtId="0" fontId="217" fillId="0" borderId="0" xfId="2320" applyFont="1" applyFill="1" applyAlignment="1">
      <alignment horizontal="left" indent="1"/>
    </xf>
    <xf numFmtId="0" fontId="1" fillId="0" borderId="0" xfId="2320" applyFont="1" applyFill="1" applyAlignment="1">
      <alignment horizontal="left" vertical="top" wrapText="1" indent="3"/>
    </xf>
    <xf numFmtId="0" fontId="60" fillId="0" borderId="0" xfId="2320" applyFont="1" applyFill="1"/>
    <xf numFmtId="0" fontId="1" fillId="0" borderId="0" xfId="2320" applyFont="1" applyFill="1" applyAlignment="1">
      <alignment horizontal="left" indent="1"/>
    </xf>
    <xf numFmtId="0" fontId="34" fillId="0" borderId="0" xfId="2320" applyFont="1" applyFill="1"/>
    <xf numFmtId="165" fontId="24" fillId="0" borderId="0" xfId="2320" applyNumberFormat="1" applyFont="1" applyFill="1"/>
    <xf numFmtId="0" fontId="24" fillId="0" borderId="0" xfId="2320" applyFont="1" applyFill="1"/>
    <xf numFmtId="0" fontId="213" fillId="0" borderId="0" xfId="2320" applyFont="1" applyFill="1" applyAlignment="1">
      <alignment horizontal="left" vertical="center" wrapText="1"/>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0" fontId="217" fillId="0" borderId="0" xfId="2320" applyFont="1" applyFill="1" applyAlignment="1">
      <alignment horizontal="left" indent="2"/>
    </xf>
    <xf numFmtId="0" fontId="30" fillId="0" borderId="0" xfId="2320" applyFont="1" applyFill="1" applyAlignment="1">
      <alignment horizontal="left" indent="2"/>
    </xf>
    <xf numFmtId="0" fontId="1" fillId="0" borderId="0" xfId="2320" applyFont="1" applyFill="1" applyAlignment="1">
      <alignment horizontal="left" wrapText="1" indent="3"/>
    </xf>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165" fontId="46" fillId="3" borderId="0" xfId="14" applyNumberFormat="1" applyFont="1" applyFill="1" applyAlignment="1"/>
    <xf numFmtId="165" fontId="20" fillId="3" borderId="0" xfId="14" applyNumberFormat="1" applyFont="1" applyFill="1" applyAlignment="1"/>
    <xf numFmtId="183" fontId="199" fillId="3" borderId="0" xfId="18" applyNumberFormat="1" applyFont="1" applyFill="1" applyBorder="1"/>
    <xf numFmtId="165" fontId="188" fillId="3" borderId="0" xfId="10" applyNumberFormat="1" applyFont="1" applyFill="1" applyBorder="1" applyAlignment="1">
      <alignment horizontal="left" vertical="center"/>
    </xf>
    <xf numFmtId="165" fontId="35" fillId="3" borderId="0" xfId="10" applyNumberFormat="1" applyFont="1" applyFill="1" applyBorder="1" applyAlignment="1">
      <alignment horizontal="right" vertical="center"/>
    </xf>
    <xf numFmtId="165" fontId="21" fillId="3" borderId="93" xfId="10" quotePrefix="1" applyNumberFormat="1" applyFont="1" applyFill="1" applyBorder="1" applyAlignment="1">
      <alignment horizontal="center" vertical="center"/>
    </xf>
    <xf numFmtId="165" fontId="21" fillId="3" borderId="92" xfId="10" quotePrefix="1" applyNumberFormat="1" applyFont="1" applyFill="1" applyBorder="1" applyAlignment="1">
      <alignment horizontal="center" vertical="center"/>
    </xf>
    <xf numFmtId="165" fontId="29" fillId="3" borderId="25" xfId="10" quotePrefix="1" applyNumberFormat="1" applyFont="1" applyFill="1" applyBorder="1" applyAlignment="1">
      <alignment horizontal="center" vertical="center"/>
    </xf>
    <xf numFmtId="165" fontId="29" fillId="3" borderId="105" xfId="10" quotePrefix="1" applyNumberFormat="1" applyFont="1" applyFill="1" applyBorder="1" applyAlignment="1">
      <alignment horizontal="center" vertical="center"/>
    </xf>
    <xf numFmtId="165" fontId="29" fillId="3" borderId="0" xfId="29" applyNumberFormat="1" applyFont="1" applyFill="1" applyBorder="1" applyAlignment="1">
      <alignment horizontal="left" vertical="top" indent="1"/>
    </xf>
    <xf numFmtId="165" fontId="21" fillId="3" borderId="18" xfId="0" applyNumberFormat="1" applyFont="1" applyFill="1" applyBorder="1" applyAlignment="1">
      <alignment horizontal="right" vertical="center"/>
    </xf>
    <xf numFmtId="165" fontId="21" fillId="3" borderId="94" xfId="0" applyNumberFormat="1" applyFont="1" applyFill="1" applyBorder="1" applyAlignment="1">
      <alignment horizontal="right" vertical="center"/>
    </xf>
    <xf numFmtId="165" fontId="29" fillId="3" borderId="13"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5" xfId="0" applyNumberFormat="1" applyFont="1" applyFill="1" applyBorder="1" applyAlignment="1">
      <alignment horizontal="right" vertical="center"/>
    </xf>
    <xf numFmtId="165" fontId="29" fillId="3" borderId="28" xfId="0" applyNumberFormat="1" applyFont="1" applyFill="1" applyBorder="1" applyAlignment="1">
      <alignment horizontal="right" vertical="center"/>
    </xf>
    <xf numFmtId="165" fontId="21" fillId="3" borderId="20" xfId="0" applyNumberFormat="1" applyFont="1" applyFill="1" applyBorder="1" applyAlignment="1">
      <alignment horizontal="right" vertical="center"/>
    </xf>
    <xf numFmtId="165" fontId="22" fillId="3" borderId="22" xfId="29" applyNumberFormat="1" applyFont="1" applyFill="1" applyBorder="1" applyAlignment="1">
      <alignment vertical="center"/>
    </xf>
    <xf numFmtId="165" fontId="22" fillId="3" borderId="92" xfId="29" applyNumberFormat="1" applyFont="1" applyFill="1" applyBorder="1" applyAlignment="1">
      <alignment vertical="center"/>
    </xf>
    <xf numFmtId="165" fontId="35" fillId="3" borderId="10" xfId="29" applyNumberFormat="1" applyFont="1" applyFill="1" applyBorder="1" applyAlignment="1">
      <alignment vertical="center"/>
    </xf>
    <xf numFmtId="165" fontId="21" fillId="3" borderId="0" xfId="1438" applyNumberFormat="1" applyFont="1" applyFill="1" applyBorder="1" applyAlignment="1">
      <alignment horizontal="right" vertical="center"/>
    </xf>
    <xf numFmtId="165" fontId="21" fillId="3" borderId="95" xfId="1438" applyNumberFormat="1" applyFont="1" applyFill="1" applyBorder="1" applyAlignment="1">
      <alignment horizontal="right" vertical="center"/>
    </xf>
    <xf numFmtId="165" fontId="21" fillId="3" borderId="18" xfId="1438" applyNumberFormat="1" applyFont="1" applyFill="1" applyBorder="1" applyAlignment="1">
      <alignment horizontal="right" vertical="center"/>
    </xf>
    <xf numFmtId="165" fontId="21" fillId="3" borderId="101" xfId="1438" applyNumberFormat="1" applyFont="1" applyFill="1" applyBorder="1" applyAlignment="1">
      <alignment horizontal="right" vertical="center"/>
    </xf>
    <xf numFmtId="165" fontId="21" fillId="3" borderId="20" xfId="1438" applyNumberFormat="1" applyFont="1" applyFill="1" applyBorder="1" applyAlignment="1">
      <alignment horizontal="right" vertical="center"/>
    </xf>
    <xf numFmtId="3" fontId="35" fillId="3" borderId="0" xfId="29" applyNumberFormat="1" applyFont="1" applyFill="1" applyBorder="1" applyAlignment="1">
      <alignment horizontal="left" vertical="center"/>
    </xf>
    <xf numFmtId="165" fontId="35" fillId="3" borderId="0" xfId="29" applyNumberFormat="1" applyFont="1" applyFill="1" applyBorder="1" applyAlignment="1">
      <alignment vertical="center"/>
    </xf>
    <xf numFmtId="3" fontId="19" fillId="3" borderId="0" xfId="29" applyNumberFormat="1" applyFont="1" applyFill="1" applyBorder="1" applyAlignment="1">
      <alignment vertical="center"/>
    </xf>
    <xf numFmtId="165" fontId="38" fillId="3" borderId="0" xfId="29" applyNumberFormat="1" applyFont="1" applyFill="1" applyBorder="1" applyAlignment="1">
      <alignment horizontal="left" vertical="top"/>
    </xf>
    <xf numFmtId="3" fontId="11" fillId="3" borderId="0" xfId="18" applyNumberFormat="1" applyFill="1" applyBorder="1"/>
    <xf numFmtId="165" fontId="29" fillId="3" borderId="0" xfId="29" applyNumberFormat="1" applyFont="1" applyFill="1" applyBorder="1" applyAlignment="1">
      <alignment horizontal="left" vertical="top"/>
    </xf>
    <xf numFmtId="165" fontId="29" fillId="3" borderId="0" xfId="29" quotePrefix="1" applyNumberFormat="1" applyFont="1" applyFill="1" applyBorder="1" applyAlignment="1">
      <alignment horizontal="left" vertical="top"/>
    </xf>
    <xf numFmtId="165" fontId="21" fillId="3" borderId="0" xfId="12" applyNumberFormat="1" applyFont="1" applyFill="1" applyBorder="1" applyAlignment="1">
      <alignment vertical="center"/>
    </xf>
    <xf numFmtId="165" fontId="31" fillId="3" borderId="0" xfId="29" applyNumberFormat="1" applyFont="1" applyFill="1" applyBorder="1" applyAlignment="1">
      <alignment horizontal="left" vertical="top"/>
    </xf>
    <xf numFmtId="165" fontId="19" fillId="3" borderId="0" xfId="10" applyNumberFormat="1" applyFont="1" applyFill="1" applyBorder="1" applyAlignment="1">
      <alignment horizontal="left" vertical="center"/>
    </xf>
    <xf numFmtId="3" fontId="35" fillId="3" borderId="0" xfId="16" applyNumberFormat="1" applyFont="1" applyFill="1" applyBorder="1" applyAlignment="1">
      <alignment horizontal="left" vertical="center"/>
    </xf>
    <xf numFmtId="165" fontId="22" fillId="3" borderId="18" xfId="0" applyNumberFormat="1" applyFont="1" applyFill="1" applyBorder="1" applyAlignment="1">
      <alignment horizontal="right" vertical="center"/>
    </xf>
    <xf numFmtId="165" fontId="22" fillId="3" borderId="94" xfId="0" applyNumberFormat="1" applyFont="1" applyFill="1" applyBorder="1" applyAlignment="1">
      <alignment horizontal="right" vertical="center"/>
    </xf>
    <xf numFmtId="165" fontId="22" fillId="3" borderId="106" xfId="0" applyNumberFormat="1" applyFont="1" applyFill="1" applyBorder="1" applyAlignment="1">
      <alignment horizontal="right" vertical="center"/>
    </xf>
    <xf numFmtId="165" fontId="22" fillId="3" borderId="95" xfId="16" applyNumberFormat="1" applyFont="1" applyFill="1" applyBorder="1" applyAlignment="1">
      <alignment horizontal="right" vertical="center"/>
    </xf>
    <xf numFmtId="165" fontId="35" fillId="3" borderId="8" xfId="0" applyNumberFormat="1" applyFont="1" applyFill="1" applyBorder="1" applyAlignment="1">
      <alignment horizontal="right" vertical="center"/>
    </xf>
    <xf numFmtId="165" fontId="29" fillId="3" borderId="0" xfId="16" applyNumberFormat="1" applyFont="1" applyFill="1" applyBorder="1" applyAlignment="1">
      <alignment horizontal="left" vertical="center" indent="1"/>
    </xf>
    <xf numFmtId="165" fontId="29" fillId="3" borderId="0" xfId="18"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165" fontId="35" fillId="3" borderId="0" xfId="16" applyNumberFormat="1" applyFont="1" applyFill="1" applyBorder="1" applyAlignment="1">
      <alignment horizontal="left" vertical="center"/>
    </xf>
    <xf numFmtId="165" fontId="35" fillId="3" borderId="0" xfId="0" applyNumberFormat="1" applyFont="1" applyFill="1" applyBorder="1" applyAlignment="1">
      <alignment horizontal="right" vertical="center"/>
    </xf>
    <xf numFmtId="165" fontId="29" fillId="3" borderId="0" xfId="16" applyNumberFormat="1" applyFont="1" applyFill="1" applyBorder="1" applyAlignment="1">
      <alignment horizontal="right" vertical="center"/>
    </xf>
    <xf numFmtId="165" fontId="35" fillId="3" borderId="11" xfId="16" applyNumberFormat="1" applyFont="1" applyFill="1" applyBorder="1" applyAlignment="1">
      <alignment vertical="center"/>
    </xf>
    <xf numFmtId="165" fontId="22" fillId="3" borderId="22" xfId="16" applyNumberFormat="1" applyFont="1" applyFill="1" applyBorder="1" applyAlignment="1">
      <alignment horizontal="right" vertical="center"/>
    </xf>
    <xf numFmtId="165" fontId="22" fillId="3" borderId="92" xfId="16" applyNumberFormat="1" applyFont="1" applyFill="1" applyBorder="1" applyAlignment="1">
      <alignment horizontal="right" vertical="center"/>
    </xf>
    <xf numFmtId="165" fontId="35" fillId="3" borderId="11" xfId="16" applyNumberFormat="1" applyFont="1" applyFill="1" applyBorder="1" applyAlignment="1">
      <alignment horizontal="right" vertical="center"/>
    </xf>
    <xf numFmtId="165" fontId="35" fillId="3" borderId="0" xfId="16" applyNumberFormat="1" applyFont="1" applyFill="1" applyBorder="1" applyAlignment="1">
      <alignment vertical="center"/>
    </xf>
    <xf numFmtId="165" fontId="35" fillId="3" borderId="0" xfId="16" applyNumberFormat="1" applyFont="1" applyFill="1" applyBorder="1" applyAlignment="1">
      <alignment horizontal="right" vertical="center"/>
    </xf>
    <xf numFmtId="165" fontId="30" fillId="3" borderId="0" xfId="16" applyNumberFormat="1" applyFont="1" applyFill="1" applyBorder="1" applyAlignment="1">
      <alignment vertical="top"/>
    </xf>
    <xf numFmtId="165" fontId="29" fillId="3" borderId="0" xfId="16" applyNumberFormat="1" applyFont="1" applyFill="1" applyBorder="1" applyAlignment="1">
      <alignment vertical="top"/>
    </xf>
    <xf numFmtId="0" fontId="25" fillId="3" borderId="97" xfId="0"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18" applyNumberFormat="1" applyFont="1" applyFill="1" applyBorder="1" applyAlignment="1">
      <alignment horizontal="left" indent="4"/>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165" fontId="29" fillId="0" borderId="0" xfId="0" applyNumberFormat="1" applyFont="1" applyFill="1" applyBorder="1" applyAlignment="1">
      <alignment horizontal="righ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0" xfId="16"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0" fontId="21" fillId="0" borderId="9" xfId="16" quotePrefix="1" applyNumberFormat="1" applyFont="1" applyFill="1" applyBorder="1" applyAlignment="1">
      <alignment horizontal="center" vertical="center"/>
    </xf>
    <xf numFmtId="0" fontId="1" fillId="0" borderId="96"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165" fontId="29" fillId="0" borderId="0" xfId="18" applyNumberFormat="1" applyFont="1" applyFill="1" applyBorder="1" applyAlignment="1">
      <alignment horizontal="right" vertical="center"/>
    </xf>
    <xf numFmtId="0" fontId="32" fillId="0" borderId="0" xfId="18" applyFont="1" applyFill="1" applyAlignment="1">
      <alignment horizontal="right"/>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165" fontId="21" fillId="0" borderId="0" xfId="16" applyNumberFormat="1" applyFont="1" applyFill="1" applyBorder="1" applyAlignment="1">
      <alignment horizontal="left" vertical="center" wrapText="1"/>
    </xf>
    <xf numFmtId="165" fontId="46" fillId="3" borderId="0" xfId="14" applyNumberFormat="1" applyFont="1" applyFill="1" applyBorder="1" applyAlignment="1">
      <alignment vertical="center"/>
    </xf>
    <xf numFmtId="0" fontId="194" fillId="3" borderId="7" xfId="30" applyFont="1" applyFill="1" applyBorder="1"/>
    <xf numFmtId="165" fontId="46" fillId="3" borderId="22" xfId="14" applyNumberFormat="1" applyFont="1" applyFill="1" applyBorder="1" applyAlignment="1">
      <alignment vertical="center"/>
    </xf>
    <xf numFmtId="165" fontId="46" fillId="3" borderId="0" xfId="14" applyNumberFormat="1" applyFont="1" applyFill="1" applyBorder="1" applyAlignment="1">
      <alignment horizontal="right" vertical="center"/>
    </xf>
    <xf numFmtId="165" fontId="50" fillId="3" borderId="0" xfId="30" applyNumberFormat="1" applyFont="1" applyFill="1" applyAlignment="1">
      <alignment horizontal="right"/>
    </xf>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5" fillId="3" borderId="23"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165" fontId="46" fillId="3" borderId="6" xfId="14" applyNumberFormat="1" applyFont="1" applyFill="1" applyBorder="1" applyAlignment="1">
      <alignment vertical="center"/>
    </xf>
    <xf numFmtId="165" fontId="21" fillId="3" borderId="0" xfId="16" applyNumberFormat="1" applyFont="1" applyFill="1" applyBorder="1" applyAlignment="1">
      <alignment vertical="center"/>
    </xf>
    <xf numFmtId="165" fontId="22" fillId="0" borderId="0" xfId="14" applyNumberFormat="1" applyFont="1" applyFill="1" applyAlignment="1"/>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44" fillId="0" borderId="0" xfId="19" applyNumberFormat="1" applyFont="1" applyFill="1"/>
    <xf numFmtId="165" fontId="22" fillId="3" borderId="109" xfId="29" applyNumberFormat="1" applyFont="1" applyFill="1" applyBorder="1" applyAlignment="1">
      <alignment vertical="center"/>
    </xf>
    <xf numFmtId="165" fontId="29" fillId="0" borderId="0" xfId="29" applyNumberFormat="1" applyFont="1" applyFill="1" applyBorder="1" applyAlignment="1">
      <alignment horizontal="left" vertical="top"/>
    </xf>
    <xf numFmtId="0" fontId="50" fillId="0" borderId="0" xfId="2320" applyFont="1" applyFill="1" applyAlignment="1">
      <alignment horizontal="left" vertical="center" wrapText="1"/>
    </xf>
    <xf numFmtId="165" fontId="217" fillId="0" borderId="84" xfId="2320" applyNumberFormat="1" applyFont="1" applyFill="1" applyBorder="1" applyAlignment="1">
      <alignment horizontal="center" vertical="center"/>
    </xf>
    <xf numFmtId="165" fontId="1" fillId="0" borderId="0" xfId="2321" applyNumberFormat="1" applyFont="1" applyFill="1"/>
    <xf numFmtId="165" fontId="50" fillId="0" borderId="0" xfId="2320" applyNumberFormat="1"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165" fontId="218" fillId="0" borderId="0" xfId="2320" applyNumberFormat="1" applyFill="1" applyAlignment="1">
      <alignment horizontal="justify"/>
    </xf>
    <xf numFmtId="165" fontId="24" fillId="0" borderId="0" xfId="2320" applyNumberFormat="1" applyFont="1" applyFill="1" applyBorder="1" applyAlignment="1">
      <alignment horizontal="justify"/>
    </xf>
    <xf numFmtId="184" fontId="29" fillId="0" borderId="0" xfId="2320" applyNumberFormat="1" applyFont="1" applyFill="1" applyAlignment="1">
      <alignment horizontal="left" wrapText="1"/>
    </xf>
    <xf numFmtId="0" fontId="191" fillId="3" borderId="0" xfId="30" applyNumberFormat="1" applyFont="1" applyFill="1"/>
    <xf numFmtId="165" fontId="46" fillId="3" borderId="0" xfId="34" applyNumberFormat="1" applyFont="1" applyFill="1" applyAlignment="1">
      <alignment vertical="center"/>
    </xf>
    <xf numFmtId="165" fontId="21" fillId="3" borderId="0" xfId="34"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7" xfId="16" applyNumberFormat="1" applyFont="1" applyFill="1" applyBorder="1" applyAlignment="1">
      <alignment vertical="center"/>
    </xf>
    <xf numFmtId="165" fontId="46" fillId="3" borderId="0" xfId="32" applyNumberFormat="1" applyFont="1" applyFill="1" applyAlignment="1">
      <alignment horizontal="right"/>
    </xf>
    <xf numFmtId="165" fontId="192" fillId="3" borderId="0" xfId="33" applyNumberFormat="1" applyFont="1" applyFill="1" applyAlignment="1">
      <alignment vertical="center"/>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22" fillId="3" borderId="0" xfId="34" applyNumberFormat="1" applyFont="1" applyFill="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2"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2" fillId="3" borderId="0" xfId="35" applyNumberFormat="1" applyFont="1" applyFill="1" applyBorder="1" applyAlignment="1">
      <alignment vertical="center"/>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22"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165" fontId="21" fillId="0" borderId="95" xfId="0" applyNumberFormat="1" applyFont="1" applyFill="1" applyBorder="1" applyAlignment="1">
      <alignment horizontal="right" vertical="center"/>
    </xf>
    <xf numFmtId="165" fontId="21" fillId="0" borderId="107"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103" xfId="0" applyNumberFormat="1" applyFont="1" applyFill="1" applyBorder="1" applyAlignment="1">
      <alignment horizontal="right" vertical="center"/>
    </xf>
    <xf numFmtId="165" fontId="21" fillId="0" borderId="95" xfId="1006" applyNumberFormat="1" applyFont="1" applyFill="1" applyBorder="1" applyAlignment="1">
      <alignment horizontal="right" vertical="center"/>
    </xf>
    <xf numFmtId="165" fontId="21" fillId="0" borderId="107" xfId="1006"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2" fillId="0" borderId="95" xfId="0" applyNumberFormat="1" applyFont="1" applyFill="1" applyBorder="1" applyAlignment="1">
      <alignment horizontal="right" vertical="center"/>
    </xf>
    <xf numFmtId="165" fontId="22" fillId="0" borderId="107" xfId="0" applyNumberFormat="1" applyFont="1" applyFill="1" applyBorder="1" applyAlignment="1">
      <alignment horizontal="right" vertical="center"/>
    </xf>
    <xf numFmtId="165" fontId="22" fillId="0" borderId="0" xfId="0" applyNumberFormat="1" applyFont="1" applyFill="1" applyBorder="1" applyAlignment="1">
      <alignment horizontal="right" vertical="center"/>
    </xf>
    <xf numFmtId="165" fontId="22" fillId="0" borderId="95" xfId="16" applyNumberFormat="1" applyFont="1" applyFill="1" applyBorder="1" applyAlignment="1">
      <alignment horizontal="right" vertical="center"/>
    </xf>
    <xf numFmtId="165" fontId="21" fillId="0" borderId="101" xfId="16" applyNumberFormat="1" applyFont="1" applyFill="1" applyBorder="1" applyAlignment="1">
      <alignment horizontal="right" vertical="center"/>
    </xf>
    <xf numFmtId="165" fontId="21" fillId="0" borderId="108" xfId="16"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95" xfId="16" applyNumberFormat="1" applyFont="1" applyFill="1" applyBorder="1" applyAlignment="1">
      <alignment horizontal="right" vertical="center"/>
    </xf>
    <xf numFmtId="165" fontId="46" fillId="0" borderId="0" xfId="14" applyNumberFormat="1" applyFont="1" applyFill="1" applyAlignment="1">
      <alignment horizontal="right"/>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29" fillId="0" borderId="0" xfId="7" applyFont="1" applyFill="1" applyAlignment="1">
      <alignment horizontal="left" vertical="center" wrapText="1"/>
    </xf>
    <xf numFmtId="165" fontId="25" fillId="0"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5" fontId="29" fillId="0" borderId="3" xfId="9" applyNumberFormat="1" applyFont="1" applyFill="1" applyBorder="1" applyAlignment="1" applyProtection="1">
      <alignment horizontal="left" vertical="center" wrapText="1"/>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center" wrapText="1"/>
    </xf>
    <xf numFmtId="0" fontId="50" fillId="0" borderId="0" xfId="2320" applyFont="1" applyFill="1" applyAlignment="1">
      <alignment horizontal="justify" vertical="top"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3" borderId="13" xfId="10" quotePrefix="1" applyNumberFormat="1" applyFont="1" applyFill="1" applyBorder="1" applyAlignment="1">
      <alignment horizontal="center" vertical="center" wrapText="1"/>
    </xf>
    <xf numFmtId="165" fontId="30" fillId="3" borderId="14" xfId="10" quotePrefix="1" applyNumberFormat="1" applyFont="1" applyFill="1" applyBorder="1" applyAlignment="1">
      <alignment horizontal="center" vertical="center" wrapText="1"/>
    </xf>
    <xf numFmtId="165" fontId="29" fillId="3" borderId="8" xfId="10" quotePrefix="1" applyNumberFormat="1" applyFont="1" applyFill="1" applyBorder="1" applyAlignment="1">
      <alignment horizontal="center" vertical="center"/>
    </xf>
    <xf numFmtId="165" fontId="29" fillId="3" borderId="26" xfId="10" quotePrefix="1" applyNumberFormat="1" applyFont="1" applyFill="1" applyBorder="1" applyAlignment="1">
      <alignment horizontal="center" vertical="center"/>
    </xf>
    <xf numFmtId="165" fontId="29" fillId="3" borderId="12" xfId="10" quotePrefix="1" applyNumberFormat="1" applyFont="1" applyFill="1" applyBorder="1" applyAlignment="1">
      <alignment horizontal="center" vertical="center"/>
    </xf>
    <xf numFmtId="165" fontId="29" fillId="3" borderId="29" xfId="10" quotePrefix="1" applyNumberFormat="1" applyFont="1" applyFill="1" applyBorder="1" applyAlignment="1">
      <alignment horizontal="center" vertical="center"/>
    </xf>
    <xf numFmtId="0" fontId="201" fillId="3" borderId="26" xfId="18" applyFont="1" applyFill="1" applyBorder="1" applyAlignment="1">
      <alignment horizontal="center" vertical="center" textRotation="90"/>
    </xf>
    <xf numFmtId="0" fontId="201" fillId="3" borderId="27" xfId="18" applyFont="1" applyFill="1" applyBorder="1" applyAlignment="1">
      <alignment horizontal="center" vertical="center" textRotation="90"/>
    </xf>
    <xf numFmtId="0" fontId="201" fillId="3" borderId="29" xfId="18" applyFont="1" applyFill="1" applyBorder="1" applyAlignment="1">
      <alignment horizontal="center" vertical="center" textRotation="90"/>
    </xf>
    <xf numFmtId="3" fontId="35" fillId="3" borderId="11" xfId="29" applyNumberFormat="1" applyFont="1" applyFill="1" applyBorder="1" applyAlignment="1">
      <alignment horizontal="left" vertical="center"/>
    </xf>
    <xf numFmtId="0" fontId="25" fillId="3" borderId="91" xfId="0" applyFont="1" applyFill="1" applyBorder="1" applyAlignment="1">
      <alignment horizontal="center" vertical="center"/>
    </xf>
    <xf numFmtId="0" fontId="25" fillId="3" borderId="22" xfId="0" applyFont="1" applyFill="1" applyBorder="1" applyAlignment="1">
      <alignment horizontal="center" vertical="center"/>
    </xf>
    <xf numFmtId="0" fontId="25" fillId="3" borderId="92" xfId="0" applyFont="1" applyFill="1" applyBorder="1" applyAlignment="1">
      <alignment horizontal="center" vertical="center"/>
    </xf>
    <xf numFmtId="0" fontId="29" fillId="3" borderId="0" xfId="0" applyFont="1" applyFill="1" applyAlignment="1">
      <alignment horizontal="left" vertical="top" wrapText="1"/>
    </xf>
    <xf numFmtId="0" fontId="11" fillId="3" borderId="0" xfId="18" applyFill="1" applyAlignment="1">
      <alignment wrapText="1"/>
    </xf>
    <xf numFmtId="165" fontId="29" fillId="3" borderId="26" xfId="14" applyNumberFormat="1" applyFont="1" applyFill="1" applyBorder="1" applyAlignment="1">
      <alignment horizontal="center" vertical="center" wrapText="1"/>
    </xf>
    <xf numFmtId="165" fontId="29" fillId="3" borderId="29" xfId="14" applyNumberFormat="1" applyFont="1" applyFill="1" applyBorder="1" applyAlignment="1">
      <alignment horizontal="center" vertical="center" wrapText="1"/>
    </xf>
    <xf numFmtId="165" fontId="30" fillId="3" borderId="8" xfId="10" quotePrefix="1" applyNumberFormat="1" applyFont="1" applyFill="1" applyBorder="1" applyAlignment="1">
      <alignment horizontal="center" vertical="center" wrapText="1"/>
    </xf>
    <xf numFmtId="165" fontId="30" fillId="3"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4" xfId="1" applyNumberFormat="1" applyFont="1" applyFill="1" applyBorder="1" applyAlignment="1">
      <alignment horizontal="left"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821">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23" xfId="2787"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16" xfId="2788"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16" xfId="2789"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16" xfId="2790"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18" xfId="2791"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19" xfId="2792"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16" xfId="2793"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16" xfId="2794"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16" xfId="2795"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23" xfId="2797"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26" xfId="2796"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26" xfId="2798"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26" xfId="2799"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24" xfId="2800"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24" xfId="2801"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24" xfId="2802"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52" xfId="2786" xr:uid="{00000000-0005-0000-0000-0000250B0000}"/>
    <cellStyle name="Normal 153" xfId="2818" xr:uid="{00000000-0005-0000-0000-0000350B0000}"/>
    <cellStyle name="Normal 154" xfId="2819" xr:uid="{00000000-0005-0000-0000-0000360B0000}"/>
    <cellStyle name="Normal 155" xfId="2820" xr:uid="{00000000-0005-0000-0000-000037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16" xfId="2803"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16" xfId="2804"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19" xfId="2805"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17" xfId="2806"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19" xfId="2807"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16" xfId="2808"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18" xfId="2809"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18" xfId="2810"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17" xfId="2811"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16" xfId="2813"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21" xfId="2812"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16" xfId="2814"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17" xfId="2815"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18" xfId="2816"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16" xfId="2817"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11</xdr:col>
      <xdr:colOff>674155</xdr:colOff>
      <xdr:row>55</xdr:row>
      <xdr:rowOff>16643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
          <a:ext cx="7379755" cy="1034555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dezembro 2022</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484716</xdr:colOff>
      <xdr:row>1</xdr:row>
      <xdr:rowOff>255693</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heetViews>
  <sheetFormatPr defaultColWidth="9.140625" defaultRowHeight="15"/>
  <cols>
    <col min="1" max="1" width="9.140625" style="1" customWidth="1"/>
    <col min="2" max="10" width="9.140625" style="1"/>
    <col min="11" max="11" width="9.140625" style="1" customWidth="1"/>
    <col min="12" max="12" width="10.85546875" style="1" customWidth="1"/>
    <col min="13" max="13" width="9.140625" style="1" customWidth="1"/>
    <col min="14" max="16384" width="9.140625" style="1"/>
  </cols>
  <sheetData>
    <row r="54" ht="17.25" customHeight="1"/>
    <row r="55" ht="2.25" customHeight="1"/>
  </sheetData>
  <printOptions horizontalCentered="1"/>
  <pageMargins left="0.70866141732283472" right="0.70866141732283472" top="0.74803149606299213" bottom="0.74803149606299213" header="0.74803149606299213" footer="0.35433070866141736"/>
  <pageSetup paperSize="9" scale="78"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28515625" style="42" customWidth="1"/>
    <col min="4" max="4" width="7.28515625" style="42" hidden="1" customWidth="1"/>
    <col min="5" max="5" width="9.42578125" style="42" customWidth="1"/>
    <col min="6" max="7" width="9.42578125" style="48" customWidth="1"/>
    <col min="8" max="10" width="9.42578125" style="42" customWidth="1"/>
    <col min="11" max="12" width="8.5703125" style="42" customWidth="1"/>
    <col min="13" max="13" width="11.42578125" style="42" bestFit="1" customWidth="1"/>
    <col min="14" max="14" width="8.5703125" style="42" customWidth="1"/>
    <col min="15" max="15" width="10.42578125" style="42" bestFit="1" customWidth="1"/>
    <col min="16" max="17" width="6.140625" style="42" bestFit="1" customWidth="1"/>
    <col min="18" max="18" width="8" style="42" bestFit="1" customWidth="1"/>
    <col min="19" max="19" width="7.5703125" style="42" bestFit="1" customWidth="1"/>
    <col min="20" max="16384" width="10" style="42"/>
  </cols>
  <sheetData>
    <row r="1" spans="2:23" ht="15" customHeight="1"/>
    <row r="2" spans="2:23" ht="24" customHeight="1">
      <c r="B2" s="8"/>
      <c r="C2" s="21" t="str">
        <f>IF(Indice_index!$Z$1=1,"6 - Conta Consolidada da Administração Central","6 - Central Government Account")</f>
        <v>6 - Conta Consolidada da Administração Central</v>
      </c>
      <c r="D2" s="21"/>
      <c r="E2" s="21"/>
      <c r="F2" s="21"/>
      <c r="G2" s="21"/>
      <c r="H2" s="21"/>
      <c r="I2" s="21"/>
      <c r="J2" s="21"/>
    </row>
    <row r="3" spans="2:23" ht="16.5" customHeight="1">
      <c r="B3" s="42" t="s">
        <v>4</v>
      </c>
      <c r="F3" s="42"/>
      <c r="G3" s="42"/>
    </row>
    <row r="4" spans="2:23" s="266" customFormat="1" ht="15" customHeight="1">
      <c r="C4" s="690" t="str">
        <f>+'5 - Conta AC + SS'!C5</f>
        <v>Período: janeiro a dezembro</v>
      </c>
      <c r="D4" s="690"/>
      <c r="E4" s="690"/>
      <c r="F4" s="953"/>
      <c r="G4" s="954"/>
      <c r="H4" s="955"/>
      <c r="I4" s="955"/>
      <c r="J4" s="956" t="str">
        <f>IF(Indice_index!$Z$1=1,"€ Milhões","€ Millions")</f>
        <v>€ Milhões</v>
      </c>
    </row>
    <row r="5" spans="2:23" ht="37.5" customHeight="1">
      <c r="C5" s="957"/>
      <c r="D5" s="686" t="str">
        <f>IF(Indice_index!$Z$1=1,"CGE","Final execution")</f>
        <v>CGE</v>
      </c>
      <c r="E5" s="686" t="str">
        <f>IF(Indice_index!$Z$1=1,"Orçamento Inicial","Budget")</f>
        <v>Orçamento Inicial</v>
      </c>
      <c r="F5" s="1717" t="str">
        <f>IF(Indice_index!$Z$1=1,"Execução Acumulada","Accumulated Execution")</f>
        <v>Execução Acumulada</v>
      </c>
      <c r="G5" s="1717"/>
      <c r="H5" s="913" t="str">
        <f>IF(Indice_index!$Z$1=1,"Grau de Execução (%)","Execution Degree (%)")</f>
        <v>Grau de Execução (%)</v>
      </c>
      <c r="I5" s="1718" t="str">
        <f>IF(Indice_index!$Z$1=1,"Variação Homóloga Acumulada","YOY Change Rate")</f>
        <v>Variação Homóloga Acumulada</v>
      </c>
      <c r="J5" s="1719"/>
    </row>
    <row r="6" spans="2:23" ht="30.75" customHeight="1">
      <c r="C6" s="958"/>
      <c r="D6" s="687" t="s">
        <v>67</v>
      </c>
      <c r="E6" s="687" t="s">
        <v>73</v>
      </c>
      <c r="F6" s="765" t="s">
        <v>67</v>
      </c>
      <c r="G6" s="765" t="s">
        <v>73</v>
      </c>
      <c r="H6" s="767" t="s">
        <v>73</v>
      </c>
      <c r="I6" s="767" t="str">
        <f>IF(Indice_index!$Z$1=1,"Relativa (%)","Relative change (%)")</f>
        <v>Relativa (%)</v>
      </c>
      <c r="J6" s="768" t="str">
        <f>IF(Indice_index!$Z$1=1,"Contributo VHA (p.p.)","YOY Change Rate Contrib. (p.p.)")</f>
        <v>Contributo VHA (p.p.)</v>
      </c>
    </row>
    <row r="7" spans="2:23" ht="3" customHeight="1">
      <c r="C7" s="44"/>
      <c r="D7" s="44"/>
      <c r="E7" s="44"/>
      <c r="F7" s="959"/>
      <c r="G7" s="960"/>
      <c r="H7" s="960"/>
      <c r="I7" s="960"/>
      <c r="J7" s="960"/>
      <c r="L7" s="43"/>
    </row>
    <row r="8" spans="2:23" s="267" customFormat="1" ht="15" customHeight="1">
      <c r="C8" s="268" t="str">
        <f>IF(Indice_index!$Z$1=1,"Receita corrente","Current revenue")</f>
        <v>Receita corrente</v>
      </c>
      <c r="D8" s="691">
        <f t="shared" ref="D8:E8" si="0">+D10+D11+D12+D13+D16+D17</f>
        <v>62629.291973259998</v>
      </c>
      <c r="E8" s="691">
        <f t="shared" si="0"/>
        <v>67867.200278999997</v>
      </c>
      <c r="F8" s="691">
        <f t="shared" ref="F8" si="1">+F10+F11+F12+F13+F16+F17</f>
        <v>62629.291973259998</v>
      </c>
      <c r="G8" s="691">
        <f t="shared" ref="G8" si="2">+G10+G11+G12+G13+G16+G17</f>
        <v>69490.585190290003</v>
      </c>
      <c r="H8" s="961">
        <f>IFERROR(IF(G8/E8*100&lt;-500,"-",IF(G8/E8*100&gt;500,"-",G8/E8*100)),"-")</f>
        <v>102.39200218163755</v>
      </c>
      <c r="I8" s="961">
        <f>IF(IFERROR((G8-F8)/F8*100,"")&gt;500,"-",IFERROR((G8-F8)/F8*100,""))</f>
        <v>10.955406010273085</v>
      </c>
      <c r="J8" s="962">
        <f t="shared" ref="J8:J16" si="3">IFERROR((G8-F8)/$F$26*100,"")</f>
        <v>10.747009613193773</v>
      </c>
      <c r="K8" s="262"/>
      <c r="L8" s="262"/>
      <c r="M8" s="262"/>
      <c r="N8" s="269"/>
      <c r="O8" s="269"/>
      <c r="P8" s="269"/>
      <c r="Q8" s="269"/>
      <c r="R8" s="269"/>
      <c r="S8" s="269"/>
      <c r="T8" s="270"/>
      <c r="U8" s="270"/>
      <c r="V8" s="270"/>
      <c r="W8" s="270"/>
    </row>
    <row r="9" spans="2:23" s="44" customFormat="1" ht="15" customHeight="1">
      <c r="C9" s="963" t="str">
        <f>IF(Indice_index!$Z$1=1,"Receita fiscal","Tax")</f>
        <v>Receita fiscal</v>
      </c>
      <c r="D9" s="113">
        <f t="shared" ref="D9:E9" si="4">+D10+D11</f>
        <v>46158.924833500001</v>
      </c>
      <c r="E9" s="113">
        <f t="shared" si="4"/>
        <v>49227.151018999997</v>
      </c>
      <c r="F9" s="113">
        <f t="shared" ref="F9" si="5">+F10+F11</f>
        <v>46158.924833500001</v>
      </c>
      <c r="G9" s="113">
        <f t="shared" ref="G9" si="6">+G10+G11</f>
        <v>52643.998187709993</v>
      </c>
      <c r="H9" s="964">
        <f t="shared" ref="H9:H23" si="7">IFERROR(IF(G9/E9*100&lt;-500,"-",IF(G9/E9*100&gt;500,"-",G9/E9*100)),"-")</f>
        <v>106.94098093832652</v>
      </c>
      <c r="I9" s="964">
        <f t="shared" ref="I9:I23" si="8">IF(IFERROR((G9-F9)/F9*100,"")&gt;500,"-",IFERROR((G9-F9)/F9*100,""))</f>
        <v>14.049446293652462</v>
      </c>
      <c r="J9" s="965">
        <f t="shared" si="3"/>
        <v>10.157727337315277</v>
      </c>
      <c r="K9" s="26"/>
      <c r="L9" s="26"/>
      <c r="M9" s="26"/>
      <c r="N9" s="45"/>
      <c r="O9" s="45"/>
      <c r="P9" s="45"/>
      <c r="Q9" s="45"/>
      <c r="R9" s="45"/>
      <c r="S9" s="45"/>
      <c r="T9" s="46"/>
      <c r="U9" s="46"/>
      <c r="V9" s="46"/>
      <c r="W9" s="46"/>
    </row>
    <row r="10" spans="2:23" s="44" customFormat="1" ht="15" customHeight="1">
      <c r="C10" s="47" t="str">
        <f>IF(Indice_index!$Z$1=1,"Impostos diretos ","Direct taxes")</f>
        <v xml:space="preserve">Impostos diretos </v>
      </c>
      <c r="D10" s="113">
        <v>19956.944554760001</v>
      </c>
      <c r="E10" s="113">
        <v>20904.899710000002</v>
      </c>
      <c r="F10" s="113">
        <v>19956.944554760001</v>
      </c>
      <c r="G10" s="113">
        <v>23377.274777119997</v>
      </c>
      <c r="H10" s="964">
        <f t="shared" si="7"/>
        <v>111.82677315566035</v>
      </c>
      <c r="I10" s="964">
        <f t="shared" si="8"/>
        <v>17.138546499314707</v>
      </c>
      <c r="J10" s="965">
        <f t="shared" si="3"/>
        <v>5.3573460012996472</v>
      </c>
      <c r="K10" s="26"/>
      <c r="L10" s="26"/>
      <c r="M10" s="26"/>
      <c r="N10" s="45"/>
      <c r="O10" s="45"/>
      <c r="P10" s="45"/>
      <c r="Q10" s="45"/>
      <c r="R10" s="45"/>
      <c r="S10" s="45"/>
      <c r="T10" s="46"/>
      <c r="U10" s="46"/>
      <c r="V10" s="46"/>
      <c r="W10" s="46"/>
    </row>
    <row r="11" spans="2:23" s="44" customFormat="1" ht="15" customHeight="1">
      <c r="C11" s="47" t="str">
        <f>IF(Indice_index!$Z$1=1,"Impostos indiretos","Indirect taxes")</f>
        <v>Impostos indiretos</v>
      </c>
      <c r="D11" s="113">
        <v>26201.980278739997</v>
      </c>
      <c r="E11" s="113">
        <v>28322.251308999999</v>
      </c>
      <c r="F11" s="113">
        <v>26201.980278739997</v>
      </c>
      <c r="G11" s="113">
        <v>29266.723410589999</v>
      </c>
      <c r="H11" s="964">
        <f t="shared" si="7"/>
        <v>103.33473526269388</v>
      </c>
      <c r="I11" s="964">
        <f t="shared" si="8"/>
        <v>11.696608803025097</v>
      </c>
      <c r="J11" s="965">
        <f t="shared" si="3"/>
        <v>4.8003813360156435</v>
      </c>
      <c r="K11" s="26"/>
      <c r="L11" s="26"/>
      <c r="M11" s="26"/>
      <c r="N11" s="45"/>
      <c r="O11" s="45"/>
      <c r="P11" s="45"/>
      <c r="Q11" s="45"/>
      <c r="R11" s="45"/>
      <c r="S11" s="45"/>
      <c r="T11" s="46"/>
      <c r="U11" s="46"/>
      <c r="V11" s="46"/>
      <c r="W11" s="46"/>
    </row>
    <row r="12" spans="2:23" s="44" customFormat="1" ht="15" customHeight="1">
      <c r="C12" s="966" t="str">
        <f>IF(Indice_index!$Z$1=1,"Contribuições para Segurança Social, CGA e ADSE","Social security, CGA and ADSE contributions")</f>
        <v>Contribuições para Segurança Social, CGA e ADSE</v>
      </c>
      <c r="D12" s="113">
        <v>4251.8208699400002</v>
      </c>
      <c r="E12" s="113">
        <v>4195.3064640000002</v>
      </c>
      <c r="F12" s="113">
        <v>4251.8208699400002</v>
      </c>
      <c r="G12" s="113">
        <v>4147.1431052099997</v>
      </c>
      <c r="H12" s="964">
        <f t="shared" si="7"/>
        <v>98.851970429257278</v>
      </c>
      <c r="I12" s="964">
        <f t="shared" si="8"/>
        <v>-2.4619514305050592</v>
      </c>
      <c r="J12" s="965">
        <f t="shared" si="3"/>
        <v>-0.16395931616050508</v>
      </c>
      <c r="K12" s="26"/>
      <c r="L12" s="26"/>
      <c r="M12" s="26"/>
      <c r="N12" s="45"/>
      <c r="O12" s="45"/>
      <c r="P12" s="45"/>
      <c r="Q12" s="45"/>
      <c r="R12" s="45"/>
      <c r="S12" s="45"/>
      <c r="T12" s="46"/>
      <c r="U12" s="46"/>
      <c r="V12" s="46"/>
      <c r="W12" s="46"/>
    </row>
    <row r="13" spans="2:23" s="44" customFormat="1" ht="15" customHeight="1">
      <c r="C13" s="966" t="str">
        <f>IF(Indice_index!$Z$1=1,"Transferências Correntes","Current transfers")</f>
        <v>Transferências Correntes</v>
      </c>
      <c r="D13" s="113">
        <f t="shared" ref="D13:E13" si="9">+D14+D15</f>
        <v>3580.1694037100006</v>
      </c>
      <c r="E13" s="113">
        <f t="shared" si="9"/>
        <v>4811.3206229999996</v>
      </c>
      <c r="F13" s="113">
        <f t="shared" ref="F13" si="10">+F14+F15</f>
        <v>3580.1694037100006</v>
      </c>
      <c r="G13" s="113">
        <f t="shared" ref="G13" si="11">+G14+G15</f>
        <v>3154.5100995900007</v>
      </c>
      <c r="H13" s="964">
        <f t="shared" si="7"/>
        <v>65.564329355025848</v>
      </c>
      <c r="I13" s="964">
        <f t="shared" si="8"/>
        <v>-11.889362097751702</v>
      </c>
      <c r="J13" s="965">
        <f t="shared" si="3"/>
        <v>-0.66672046925042616</v>
      </c>
      <c r="K13" s="26"/>
      <c r="L13" s="26"/>
      <c r="M13" s="26"/>
      <c r="N13" s="45"/>
      <c r="O13" s="45"/>
      <c r="P13" s="45"/>
      <c r="Q13" s="45"/>
      <c r="R13" s="45"/>
      <c r="S13" s="45"/>
      <c r="T13" s="46"/>
      <c r="U13" s="46"/>
      <c r="V13" s="46"/>
      <c r="W13" s="46"/>
    </row>
    <row r="14" spans="2:23" s="44" customFormat="1" ht="15" customHeight="1">
      <c r="C14" s="967" t="str">
        <f>IF(Indice_index!$Z$1=1,"Administrações Públicas","General Government subsectors")</f>
        <v>Administrações Públicas</v>
      </c>
      <c r="D14" s="113">
        <v>2169.0692717900001</v>
      </c>
      <c r="E14" s="113">
        <v>1915.556742</v>
      </c>
      <c r="F14" s="113">
        <v>2169.0692717900001</v>
      </c>
      <c r="G14" s="113">
        <v>1845.8062332000004</v>
      </c>
      <c r="H14" s="964">
        <f t="shared" si="7"/>
        <v>96.358734394514769</v>
      </c>
      <c r="I14" s="964">
        <f t="shared" si="8"/>
        <v>-14.903306353292741</v>
      </c>
      <c r="J14" s="965">
        <f t="shared" si="3"/>
        <v>-0.50633472050051354</v>
      </c>
      <c r="K14" s="26"/>
      <c r="L14" s="26"/>
      <c r="M14" s="26"/>
      <c r="N14" s="45"/>
      <c r="O14" s="45"/>
      <c r="P14" s="45"/>
      <c r="Q14" s="45"/>
      <c r="R14" s="45"/>
      <c r="S14" s="45"/>
      <c r="T14" s="46"/>
      <c r="U14" s="46"/>
      <c r="V14" s="46"/>
      <c r="W14" s="46"/>
    </row>
    <row r="15" spans="2:23" s="44" customFormat="1" ht="15" customHeight="1">
      <c r="C15" s="967" t="str">
        <f>IF(Indice_index!$Z$1=1,"Outras","Others")</f>
        <v>Outras</v>
      </c>
      <c r="D15" s="113">
        <v>1411.1001319200002</v>
      </c>
      <c r="E15" s="113">
        <v>2895.7638809999999</v>
      </c>
      <c r="F15" s="113">
        <v>1411.1001319200002</v>
      </c>
      <c r="G15" s="113">
        <v>1308.7038663900003</v>
      </c>
      <c r="H15" s="964">
        <f t="shared" si="7"/>
        <v>45.193735406978796</v>
      </c>
      <c r="I15" s="964">
        <f t="shared" si="8"/>
        <v>-7.2564847251963203</v>
      </c>
      <c r="J15" s="965">
        <f t="shared" si="3"/>
        <v>-0.16038574874991227</v>
      </c>
      <c r="K15" s="26"/>
      <c r="L15" s="26"/>
      <c r="M15" s="26"/>
      <c r="N15" s="45"/>
      <c r="O15" s="45"/>
      <c r="P15" s="45"/>
      <c r="Q15" s="45"/>
      <c r="R15" s="45"/>
      <c r="S15" s="45"/>
      <c r="T15" s="46"/>
      <c r="U15" s="46"/>
      <c r="V15" s="46"/>
      <c r="W15" s="46"/>
    </row>
    <row r="16" spans="2:23" s="44" customFormat="1" ht="15" customHeight="1">
      <c r="C16" s="966" t="str">
        <f>IF(Indice_index!$Z$1=1,"Outras receitas correntes","Other current revenue")</f>
        <v>Outras receitas correntes</v>
      </c>
      <c r="D16" s="113">
        <v>8598.4130747300005</v>
      </c>
      <c r="E16" s="113">
        <v>9616.8545289999984</v>
      </c>
      <c r="F16" s="113">
        <v>8598.4130747300005</v>
      </c>
      <c r="G16" s="113">
        <v>9293.622493470004</v>
      </c>
      <c r="H16" s="964">
        <f t="shared" si="7"/>
        <v>96.638900645161314</v>
      </c>
      <c r="I16" s="964">
        <f t="shared" si="8"/>
        <v>8.0853224042371767</v>
      </c>
      <c r="J16" s="965">
        <f t="shared" si="3"/>
        <v>1.0889233370521616</v>
      </c>
      <c r="K16" s="26"/>
      <c r="L16" s="26"/>
      <c r="M16" s="26"/>
      <c r="N16" s="45"/>
      <c r="O16" s="45"/>
      <c r="P16" s="45"/>
      <c r="Q16" s="45"/>
      <c r="R16" s="45"/>
      <c r="S16" s="45"/>
      <c r="T16" s="46"/>
      <c r="U16" s="46"/>
      <c r="V16" s="46"/>
      <c r="W16" s="46"/>
    </row>
    <row r="17" spans="2:23" s="44" customFormat="1" ht="15" customHeight="1">
      <c r="C17" s="966" t="str">
        <f>IF(Indice_index!$Z$1=1,"Diferenças de consolidação","Consolidation differences")</f>
        <v>Diferenças de consolidação</v>
      </c>
      <c r="D17" s="113">
        <v>39.963791379997609</v>
      </c>
      <c r="E17" s="113">
        <v>16.567643999995955</v>
      </c>
      <c r="F17" s="113">
        <v>39.963791379997609</v>
      </c>
      <c r="G17" s="113">
        <v>251.31130431000656</v>
      </c>
      <c r="H17" s="964"/>
      <c r="I17" s="964"/>
      <c r="J17" s="965"/>
      <c r="K17" s="26"/>
      <c r="L17" s="26"/>
      <c r="M17" s="26"/>
      <c r="N17" s="45"/>
      <c r="O17" s="45"/>
      <c r="P17" s="45"/>
      <c r="Q17" s="45"/>
      <c r="R17" s="45"/>
      <c r="S17" s="45"/>
      <c r="T17" s="46"/>
      <c r="U17" s="46"/>
      <c r="V17" s="46"/>
      <c r="W17" s="46"/>
    </row>
    <row r="18" spans="2:23" s="267" customFormat="1" ht="15" customHeight="1">
      <c r="C18" s="268" t="str">
        <f>IF(Indice_index!$Z$1=1,"Receita de capital","Capital revenue")</f>
        <v>Receita de capital</v>
      </c>
      <c r="D18" s="691">
        <f t="shared" ref="D18:E18" si="12">+D19+D20+D23+D24</f>
        <v>1214.4512072300001</v>
      </c>
      <c r="E18" s="691">
        <f t="shared" si="12"/>
        <v>3666.3722160000002</v>
      </c>
      <c r="F18" s="691">
        <f t="shared" ref="F18" si="13">+F19+F20+F23+F24</f>
        <v>1214.4512072300001</v>
      </c>
      <c r="G18" s="691">
        <f t="shared" ref="G18" si="14">+G19+G20+G23+G24</f>
        <v>1568.3231322500003</v>
      </c>
      <c r="H18" s="691">
        <f t="shared" si="7"/>
        <v>42.775884167075532</v>
      </c>
      <c r="I18" s="691">
        <f t="shared" si="8"/>
        <v>29.138422598890113</v>
      </c>
      <c r="J18" s="962">
        <f t="shared" ref="J18:J23" si="15">IFERROR((G18-F18)/$F$26*100,"")</f>
        <v>0.55427816006900399</v>
      </c>
      <c r="K18" s="262"/>
      <c r="L18" s="262"/>
      <c r="M18" s="262"/>
      <c r="N18" s="269"/>
      <c r="O18" s="269"/>
      <c r="P18" s="269"/>
      <c r="Q18" s="269"/>
      <c r="R18" s="269"/>
      <c r="S18" s="269"/>
      <c r="T18" s="270"/>
      <c r="U18" s="270"/>
      <c r="V18" s="270"/>
      <c r="W18" s="270"/>
    </row>
    <row r="19" spans="2:23" s="44" customFormat="1" ht="15" customHeight="1">
      <c r="C19" s="966" t="str">
        <f>IF(Indice_index!$Z$1=1,"Venda de bens de investimento","Sale of investment goods")</f>
        <v>Venda de bens de investimento</v>
      </c>
      <c r="D19" s="113">
        <v>154.44449596999999</v>
      </c>
      <c r="E19" s="113">
        <v>182.557568</v>
      </c>
      <c r="F19" s="113">
        <v>154.44449596999999</v>
      </c>
      <c r="G19" s="113">
        <v>140.53247831000002</v>
      </c>
      <c r="H19" s="964">
        <f t="shared" si="7"/>
        <v>76.979815106870845</v>
      </c>
      <c r="I19" s="964">
        <f t="shared" si="8"/>
        <v>-9.0077782135417177</v>
      </c>
      <c r="J19" s="965">
        <f t="shared" si="15"/>
        <v>-2.1790729939925181E-2</v>
      </c>
      <c r="K19" s="26"/>
      <c r="L19" s="26"/>
      <c r="M19" s="26"/>
      <c r="N19" s="45"/>
      <c r="O19" s="45"/>
      <c r="P19" s="45"/>
      <c r="Q19" s="45"/>
      <c r="R19" s="45"/>
      <c r="S19" s="45"/>
      <c r="T19" s="46"/>
      <c r="U19" s="46"/>
      <c r="V19" s="46"/>
      <c r="W19" s="46"/>
    </row>
    <row r="20" spans="2:23" s="44" customFormat="1" ht="15" customHeight="1">
      <c r="C20" s="966" t="str">
        <f>IF(Indice_index!$Z$1=1,"Transferências de Capital","Capital transfers")</f>
        <v>Transferências de Capital</v>
      </c>
      <c r="D20" s="113">
        <f t="shared" ref="D20:E20" si="16">+D21+D22</f>
        <v>1020.93896993</v>
      </c>
      <c r="E20" s="113">
        <f t="shared" si="16"/>
        <v>3433.883237</v>
      </c>
      <c r="F20" s="113">
        <f t="shared" ref="F20" si="17">+F21+F22</f>
        <v>1020.93896993</v>
      </c>
      <c r="G20" s="113">
        <f t="shared" ref="G20" si="18">+G21+G22</f>
        <v>1328.5607312200002</v>
      </c>
      <c r="H20" s="964">
        <f t="shared" si="7"/>
        <v>38.689746841266874</v>
      </c>
      <c r="I20" s="964">
        <f t="shared" si="8"/>
        <v>30.131258610991416</v>
      </c>
      <c r="J20" s="965">
        <f t="shared" si="15"/>
        <v>0.48183540933734959</v>
      </c>
      <c r="K20" s="26"/>
      <c r="L20" s="26"/>
      <c r="M20" s="26"/>
      <c r="N20" s="45"/>
      <c r="O20" s="45"/>
      <c r="P20" s="45"/>
      <c r="Q20" s="45"/>
      <c r="R20" s="45"/>
      <c r="S20" s="45"/>
      <c r="T20" s="46"/>
      <c r="U20" s="46"/>
      <c r="V20" s="46"/>
      <c r="W20" s="46"/>
    </row>
    <row r="21" spans="2:23" s="44" customFormat="1" ht="15" customHeight="1">
      <c r="C21" s="967" t="str">
        <f>IF(Indice_index!$Z$1=1,"Administrações Públicas","General Government subsectors")</f>
        <v>Administrações Públicas</v>
      </c>
      <c r="D21" s="113">
        <v>10.4803914</v>
      </c>
      <c r="E21" s="113">
        <v>35.408985000000001</v>
      </c>
      <c r="F21" s="113">
        <v>10.4803914</v>
      </c>
      <c r="G21" s="113">
        <v>11.502018249999999</v>
      </c>
      <c r="H21" s="964">
        <f t="shared" si="7"/>
        <v>32.483332267219744</v>
      </c>
      <c r="I21" s="964">
        <f t="shared" si="8"/>
        <v>9.7479837441948849</v>
      </c>
      <c r="J21" s="965">
        <f t="shared" si="15"/>
        <v>1.6001988591298601E-3</v>
      </c>
      <c r="K21" s="26"/>
      <c r="L21" s="26"/>
      <c r="M21" s="26"/>
      <c r="N21" s="45"/>
      <c r="O21" s="45"/>
      <c r="P21" s="45"/>
      <c r="Q21" s="45"/>
      <c r="R21" s="45"/>
      <c r="S21" s="45"/>
      <c r="T21" s="46"/>
      <c r="U21" s="46"/>
      <c r="V21" s="46"/>
      <c r="W21" s="46"/>
    </row>
    <row r="22" spans="2:23" s="44" customFormat="1" ht="15" customHeight="1">
      <c r="B22" s="47"/>
      <c r="C22" s="967" t="str">
        <f>IF(Indice_index!$Z$1=1,"Outras","Others")</f>
        <v>Outras</v>
      </c>
      <c r="D22" s="113">
        <v>1010.45857853</v>
      </c>
      <c r="E22" s="113">
        <v>3398.474252</v>
      </c>
      <c r="F22" s="113">
        <v>1010.45857853</v>
      </c>
      <c r="G22" s="113">
        <v>1317.0587129700002</v>
      </c>
      <c r="H22" s="964">
        <f t="shared" si="7"/>
        <v>38.754411989289373</v>
      </c>
      <c r="I22" s="964">
        <f t="shared" si="8"/>
        <v>30.342672223738017</v>
      </c>
      <c r="J22" s="965">
        <f t="shared" si="15"/>
        <v>0.48023521047821988</v>
      </c>
      <c r="K22" s="26"/>
      <c r="L22" s="26"/>
      <c r="M22" s="26"/>
      <c r="N22" s="45"/>
      <c r="O22" s="45"/>
      <c r="P22" s="45"/>
      <c r="Q22" s="45"/>
      <c r="R22" s="45"/>
      <c r="S22" s="45"/>
      <c r="T22" s="46"/>
      <c r="U22" s="46"/>
      <c r="V22" s="46"/>
      <c r="W22" s="46"/>
    </row>
    <row r="23" spans="2:23" s="44" customFormat="1" ht="15" customHeight="1">
      <c r="C23" s="966" t="str">
        <f>IF(Indice_index!$Z$1=1,"Outras receitas de capital","Other capital revenue")</f>
        <v>Outras receitas de capital</v>
      </c>
      <c r="D23" s="113">
        <v>26.772300769999998</v>
      </c>
      <c r="E23" s="113">
        <v>43.630996000000003</v>
      </c>
      <c r="F23" s="113">
        <v>26.772300769999998</v>
      </c>
      <c r="G23" s="113">
        <v>97.434772219999999</v>
      </c>
      <c r="H23" s="964">
        <f t="shared" si="7"/>
        <v>223.3154893369842</v>
      </c>
      <c r="I23" s="964">
        <f t="shared" si="8"/>
        <v>263.93873301013275</v>
      </c>
      <c r="J23" s="965">
        <f t="shared" si="15"/>
        <v>0.11068033910579625</v>
      </c>
      <c r="K23" s="26"/>
      <c r="L23" s="26"/>
      <c r="M23" s="26"/>
      <c r="N23" s="45"/>
      <c r="O23" s="45"/>
      <c r="P23" s="45"/>
      <c r="Q23" s="45"/>
      <c r="R23" s="45"/>
      <c r="S23" s="45"/>
      <c r="T23" s="46"/>
      <c r="U23" s="46"/>
      <c r="V23" s="46"/>
      <c r="W23" s="46"/>
    </row>
    <row r="24" spans="2:23" s="44" customFormat="1" ht="15" customHeight="1">
      <c r="C24" s="966" t="str">
        <f>IF(Indice_index!$Z$1=1,"Diferenças de consolidação","Consolidation differences")</f>
        <v>Diferenças de consolidação</v>
      </c>
      <c r="D24" s="113">
        <v>12.295440560000369</v>
      </c>
      <c r="E24" s="113">
        <v>6.3004149999999726</v>
      </c>
      <c r="F24" s="113">
        <v>12.295440560000369</v>
      </c>
      <c r="G24" s="113">
        <v>1.7951505000000485</v>
      </c>
      <c r="H24" s="965"/>
      <c r="I24" s="965"/>
      <c r="J24" s="965"/>
      <c r="K24" s="26"/>
      <c r="L24" s="26"/>
      <c r="M24" s="26"/>
      <c r="N24" s="45"/>
      <c r="O24" s="45"/>
      <c r="P24" s="45"/>
      <c r="Q24" s="45"/>
      <c r="R24" s="45"/>
      <c r="S24" s="45"/>
      <c r="T24" s="46"/>
      <c r="U24" s="46"/>
      <c r="V24" s="46"/>
      <c r="W24" s="46"/>
    </row>
    <row r="25" spans="2:23" s="44" customFormat="1" ht="4.5" customHeight="1">
      <c r="C25" s="692"/>
      <c r="D25" s="692"/>
      <c r="E25" s="692"/>
      <c r="F25" s="113"/>
      <c r="G25" s="113"/>
      <c r="H25" s="965"/>
      <c r="I25" s="965"/>
      <c r="J25" s="965"/>
      <c r="K25" s="26"/>
      <c r="L25" s="26"/>
      <c r="M25" s="26"/>
      <c r="N25" s="45"/>
      <c r="O25" s="45"/>
      <c r="P25" s="45"/>
      <c r="Q25" s="45"/>
      <c r="R25" s="45"/>
      <c r="S25" s="45"/>
      <c r="T25" s="46"/>
      <c r="U25" s="46"/>
      <c r="V25" s="46"/>
      <c r="W25" s="46"/>
    </row>
    <row r="26" spans="2:23" s="268" customFormat="1" ht="15" customHeight="1">
      <c r="C26" s="968" t="str">
        <f>IF(Indice_index!$Z$1=1,"Receita efetiva","Effective revenue")</f>
        <v>Receita efetiva</v>
      </c>
      <c r="D26" s="693">
        <f t="shared" ref="D26:E26" si="19">+D8+D18</f>
        <v>63843.743180489997</v>
      </c>
      <c r="E26" s="693">
        <f t="shared" si="19"/>
        <v>71533.572495</v>
      </c>
      <c r="F26" s="693">
        <f t="shared" ref="F26" si="20">+F8+F18</f>
        <v>63843.743180489997</v>
      </c>
      <c r="G26" s="693">
        <f t="shared" ref="G26" si="21">+G8+G18</f>
        <v>71058.90832254001</v>
      </c>
      <c r="H26" s="969">
        <f>IFERROR(IF(G26/E26*100&lt;-500,"-",IF(G26/E26*100&gt;500,"-",G26/E26*100)),"-")</f>
        <v>99.33644559344053</v>
      </c>
      <c r="I26" s="969">
        <f t="shared" ref="I26" si="22">IF(IFERROR((G26-F26)/F26*100,"")&gt;500,"-",IFERROR((G26-F26)/F26*100,""))</f>
        <v>11.301287773262791</v>
      </c>
      <c r="J26" s="970"/>
      <c r="K26" s="262"/>
      <c r="L26" s="262"/>
      <c r="M26" s="262"/>
      <c r="N26" s="269"/>
      <c r="O26" s="269"/>
      <c r="P26" s="269"/>
      <c r="Q26" s="269"/>
      <c r="R26" s="269"/>
      <c r="S26" s="269"/>
      <c r="T26" s="270"/>
      <c r="U26" s="270"/>
      <c r="V26" s="270"/>
      <c r="W26" s="270"/>
    </row>
    <row r="27" spans="2:23" s="44" customFormat="1" ht="4.5" customHeight="1">
      <c r="C27" s="692"/>
      <c r="D27" s="692"/>
      <c r="E27" s="692"/>
      <c r="F27" s="113"/>
      <c r="G27" s="113"/>
      <c r="H27" s="965"/>
      <c r="I27" s="965"/>
      <c r="J27" s="965"/>
      <c r="K27" s="26"/>
      <c r="L27" s="26"/>
      <c r="M27" s="26"/>
      <c r="N27" s="45"/>
      <c r="O27" s="45"/>
      <c r="P27" s="45"/>
      <c r="Q27" s="45"/>
      <c r="R27" s="45"/>
      <c r="S27" s="45"/>
      <c r="T27" s="46"/>
      <c r="U27" s="46"/>
      <c r="V27" s="46"/>
      <c r="W27" s="46"/>
    </row>
    <row r="28" spans="2:23" s="267" customFormat="1" ht="15" customHeight="1">
      <c r="C28" s="268" t="str">
        <f>IF(Indice_index!$Z$1=1,"Despesa corrente","Current expenditure")</f>
        <v>Despesa corrente</v>
      </c>
      <c r="D28" s="691">
        <f t="shared" ref="D28:G28" si="23">+D29+D33+D34+D35+D38+D39+D40</f>
        <v>68940.759742010036</v>
      </c>
      <c r="E28" s="691">
        <f t="shared" ref="E28:F28" si="24">+E29+E33+E34+E35+E38+E39+E40</f>
        <v>71082.499699999986</v>
      </c>
      <c r="F28" s="691">
        <f t="shared" si="24"/>
        <v>68940.759742010036</v>
      </c>
      <c r="G28" s="691">
        <f t="shared" si="23"/>
        <v>72954.03012204</v>
      </c>
      <c r="H28" s="691">
        <f t="shared" ref="H28:H46" si="25">IFERROR(IF(G28/E28*100&lt;-500,"-",IF(G28/E28*100&gt;500,"-",G28/E28*100)),"-")</f>
        <v>102.63289899755736</v>
      </c>
      <c r="I28" s="691">
        <f t="shared" ref="I28:I46" si="26">IF(IFERROR((G28-F28)/F28*100,"")&gt;500,"-",IFERROR((G28-F28)/F28*100,""))</f>
        <v>5.8213318145149779</v>
      </c>
      <c r="J28" s="962">
        <f>IFERROR((G28-F28)/$F$49*100,"")</f>
        <v>5.3893661967708955</v>
      </c>
      <c r="K28" s="262"/>
      <c r="L28" s="262"/>
      <c r="M28" s="262"/>
      <c r="N28" s="269"/>
      <c r="O28" s="269"/>
      <c r="P28" s="269"/>
      <c r="Q28" s="269"/>
      <c r="R28" s="269"/>
      <c r="S28" s="269"/>
      <c r="T28" s="270"/>
      <c r="U28" s="270"/>
      <c r="V28" s="270"/>
      <c r="W28" s="270"/>
    </row>
    <row r="29" spans="2:23" s="44" customFormat="1" ht="15" customHeight="1">
      <c r="C29" s="966" t="str">
        <f>IF(Indice_index!$Z$1=1,"Despesas com o pessoal","Employees")</f>
        <v>Despesas com o pessoal</v>
      </c>
      <c r="D29" s="113">
        <f t="shared" ref="D29:E29" si="27">+D30+D31+D32</f>
        <v>18714.033484429998</v>
      </c>
      <c r="E29" s="113">
        <f t="shared" si="27"/>
        <v>18956.054237</v>
      </c>
      <c r="F29" s="113">
        <f t="shared" ref="F29" si="28">+F30+F31+F32</f>
        <v>18714.033484429998</v>
      </c>
      <c r="G29" s="113">
        <f t="shared" ref="G29" si="29">+G30+G31+G32</f>
        <v>19004.634334000002</v>
      </c>
      <c r="H29" s="964">
        <f t="shared" si="25"/>
        <v>100.25627747416537</v>
      </c>
      <c r="I29" s="964">
        <f t="shared" si="26"/>
        <v>1.5528498963720627</v>
      </c>
      <c r="J29" s="965">
        <f t="shared" ref="J29:J46" si="30">IFERROR((G29-F29)/$F$49*100,"")</f>
        <v>0.39024392755062576</v>
      </c>
      <c r="K29" s="26"/>
      <c r="L29" s="26"/>
      <c r="M29" s="26"/>
      <c r="N29" s="45"/>
      <c r="O29" s="45"/>
      <c r="P29" s="45"/>
      <c r="Q29" s="45"/>
      <c r="R29" s="45"/>
      <c r="S29" s="45"/>
      <c r="T29" s="46"/>
      <c r="U29" s="46"/>
      <c r="V29" s="46"/>
      <c r="W29" s="46"/>
    </row>
    <row r="30" spans="2:23" s="44" customFormat="1" ht="15" customHeight="1">
      <c r="C30" s="971" t="str">
        <f>IF(Indice_index!$Z$1=1,"Remunerações Certas e Permanentes","Certain and permanent wages")</f>
        <v>Remunerações Certas e Permanentes</v>
      </c>
      <c r="D30" s="113">
        <v>13299.923762189999</v>
      </c>
      <c r="E30" s="113">
        <v>13882.224843</v>
      </c>
      <c r="F30" s="113">
        <v>13299.923762189999</v>
      </c>
      <c r="G30" s="113">
        <v>13510.361972169996</v>
      </c>
      <c r="H30" s="964">
        <f t="shared" si="25"/>
        <v>97.321302060472576</v>
      </c>
      <c r="I30" s="964">
        <f t="shared" si="26"/>
        <v>1.5822512500278088</v>
      </c>
      <c r="J30" s="965">
        <f t="shared" si="30"/>
        <v>0.28259460937857439</v>
      </c>
      <c r="K30" s="26"/>
      <c r="L30" s="26"/>
      <c r="M30" s="26"/>
      <c r="N30" s="45"/>
      <c r="O30" s="45"/>
      <c r="P30" s="45"/>
      <c r="Q30" s="45"/>
      <c r="R30" s="45"/>
      <c r="S30" s="45"/>
      <c r="T30" s="46"/>
      <c r="U30" s="46"/>
      <c r="V30" s="46"/>
      <c r="W30" s="46"/>
    </row>
    <row r="31" spans="2:23" s="44" customFormat="1" ht="15" customHeight="1">
      <c r="C31" s="971" t="str">
        <f>IF(Indice_index!$Z$1=1,"Abonos Variáveis ou Eventuais","Variable or contingent bonuses")</f>
        <v>Abonos Variáveis ou Eventuais</v>
      </c>
      <c r="D31" s="113">
        <v>1331.9491322400004</v>
      </c>
      <c r="E31" s="113">
        <v>1286.9144659999999</v>
      </c>
      <c r="F31" s="113">
        <v>1331.9491322400004</v>
      </c>
      <c r="G31" s="113">
        <v>1380.4398398700005</v>
      </c>
      <c r="H31" s="964">
        <f t="shared" si="25"/>
        <v>107.26741180870374</v>
      </c>
      <c r="I31" s="964">
        <f t="shared" si="26"/>
        <v>3.6405825460054184</v>
      </c>
      <c r="J31" s="965">
        <f t="shared" si="30"/>
        <v>6.5117511608244E-2</v>
      </c>
      <c r="K31" s="26"/>
      <c r="L31" s="26"/>
      <c r="M31" s="26"/>
      <c r="N31" s="45"/>
      <c r="O31" s="45"/>
      <c r="P31" s="45"/>
      <c r="Q31" s="45"/>
      <c r="R31" s="45"/>
      <c r="S31" s="45"/>
      <c r="T31" s="46"/>
      <c r="U31" s="46"/>
      <c r="V31" s="46"/>
      <c r="W31" s="46"/>
    </row>
    <row r="32" spans="2:23" s="44" customFormat="1" ht="15" customHeight="1">
      <c r="C32" s="971" t="str">
        <f>IF(Indice_index!$Z$1=1,"Segurança social","Social security")</f>
        <v>Segurança social</v>
      </c>
      <c r="D32" s="113">
        <v>4082.1605899999968</v>
      </c>
      <c r="E32" s="113">
        <v>3786.9149280000001</v>
      </c>
      <c r="F32" s="113">
        <v>4082.1605899999968</v>
      </c>
      <c r="G32" s="113">
        <v>4113.8325219600029</v>
      </c>
      <c r="H32" s="964">
        <f t="shared" si="25"/>
        <v>108.6328211796577</v>
      </c>
      <c r="I32" s="964">
        <f t="shared" si="26"/>
        <v>0.77586197950154878</v>
      </c>
      <c r="J32" s="965">
        <f t="shared" si="30"/>
        <v>4.253180656380548E-2</v>
      </c>
      <c r="K32" s="26"/>
      <c r="L32" s="26"/>
      <c r="M32" s="26"/>
      <c r="N32" s="45"/>
      <c r="O32" s="45"/>
      <c r="P32" s="45"/>
      <c r="Q32" s="45"/>
      <c r="R32" s="45"/>
      <c r="S32" s="45"/>
      <c r="T32" s="46"/>
      <c r="U32" s="46"/>
      <c r="V32" s="46"/>
      <c r="W32" s="46"/>
    </row>
    <row r="33" spans="3:23" s="44" customFormat="1" ht="15" customHeight="1">
      <c r="C33" s="966" t="str">
        <f>IF(Indice_index!$Z$1=1,"Aquisição de bens e serviços","Purchase of goods and services")</f>
        <v>Aquisição de bens e serviços</v>
      </c>
      <c r="D33" s="113">
        <v>11372.99176786004</v>
      </c>
      <c r="E33" s="113">
        <v>12326.024108999998</v>
      </c>
      <c r="F33" s="113">
        <v>11372.99176786004</v>
      </c>
      <c r="G33" s="113">
        <v>12439.953487959981</v>
      </c>
      <c r="H33" s="964">
        <f t="shared" si="25"/>
        <v>100.92429949797676</v>
      </c>
      <c r="I33" s="964">
        <f t="shared" si="26"/>
        <v>9.3815395445476799</v>
      </c>
      <c r="J33" s="965">
        <f t="shared" si="30"/>
        <v>1.4328083789640467</v>
      </c>
      <c r="K33" s="26"/>
      <c r="L33" s="26"/>
      <c r="M33" s="26"/>
      <c r="N33" s="45"/>
      <c r="O33" s="45"/>
      <c r="P33" s="45"/>
      <c r="Q33" s="45"/>
      <c r="R33" s="45"/>
      <c r="S33" s="45"/>
      <c r="T33" s="46"/>
      <c r="U33" s="46"/>
      <c r="V33" s="46"/>
      <c r="W33" s="46"/>
    </row>
    <row r="34" spans="3:23" s="44" customFormat="1" ht="15" customHeight="1">
      <c r="C34" s="966" t="str">
        <f>IF(Indice_index!$Z$1=1,"Juros e outros encargos","Interests and other charges")</f>
        <v>Juros e outros encargos</v>
      </c>
      <c r="D34" s="113">
        <v>6796.6822999299993</v>
      </c>
      <c r="E34" s="113">
        <v>6631.3696349999991</v>
      </c>
      <c r="F34" s="113">
        <v>6796.6822999299993</v>
      </c>
      <c r="G34" s="113">
        <v>6415.7589980500015</v>
      </c>
      <c r="H34" s="964">
        <f t="shared" si="25"/>
        <v>96.748625867392207</v>
      </c>
      <c r="I34" s="964">
        <f t="shared" si="26"/>
        <v>-5.6045477053403099</v>
      </c>
      <c r="J34" s="965">
        <f t="shared" si="30"/>
        <v>-0.51153672001014983</v>
      </c>
      <c r="K34" s="26"/>
      <c r="L34" s="26"/>
      <c r="M34" s="26"/>
      <c r="N34" s="45"/>
      <c r="O34" s="45"/>
      <c r="P34" s="45"/>
      <c r="Q34" s="45"/>
      <c r="R34" s="45"/>
      <c r="S34" s="45"/>
      <c r="T34" s="46"/>
      <c r="U34" s="46"/>
      <c r="V34" s="46"/>
      <c r="W34" s="46"/>
    </row>
    <row r="35" spans="3:23" s="44" customFormat="1" ht="15" customHeight="1">
      <c r="C35" s="966" t="str">
        <f>IF(Indice_index!$Z$1=1,"Transferências Correntes","Current transfers")</f>
        <v>Transferências Correntes</v>
      </c>
      <c r="D35" s="113">
        <f t="shared" ref="D35:E35" si="31">+D36+D37</f>
        <v>30173.699127129999</v>
      </c>
      <c r="E35" s="113">
        <f t="shared" si="31"/>
        <v>30080.527765999999</v>
      </c>
      <c r="F35" s="113">
        <f t="shared" ref="F35" si="32">+F36+F37</f>
        <v>30173.699127129999</v>
      </c>
      <c r="G35" s="113">
        <f t="shared" ref="G35" si="33">+G36+G37</f>
        <v>33208.661256829997</v>
      </c>
      <c r="H35" s="964">
        <f t="shared" si="25"/>
        <v>110.39919749800976</v>
      </c>
      <c r="I35" s="964">
        <f t="shared" si="26"/>
        <v>10.058303149749314</v>
      </c>
      <c r="J35" s="965">
        <f t="shared" si="30"/>
        <v>4.0756093563182381</v>
      </c>
      <c r="K35" s="26"/>
      <c r="L35" s="26"/>
      <c r="M35" s="26"/>
      <c r="N35" s="45"/>
      <c r="O35" s="45"/>
      <c r="P35" s="45"/>
      <c r="Q35" s="45"/>
      <c r="R35" s="45"/>
      <c r="S35" s="45"/>
      <c r="T35" s="46"/>
      <c r="U35" s="46"/>
      <c r="V35" s="46"/>
      <c r="W35" s="46"/>
    </row>
    <row r="36" spans="3:23" s="44" customFormat="1" ht="15" customHeight="1">
      <c r="C36" s="967" t="str">
        <f>IF(Indice_index!$Z$1=1,"Administrações Públicas","General Government subsectors")</f>
        <v>Administrações Públicas</v>
      </c>
      <c r="D36" s="113">
        <v>15062.905607920004</v>
      </c>
      <c r="E36" s="113">
        <v>14210.651188</v>
      </c>
      <c r="F36" s="113">
        <v>15062.905607920004</v>
      </c>
      <c r="G36" s="113">
        <v>15569.502098290001</v>
      </c>
      <c r="H36" s="964">
        <f t="shared" si="25"/>
        <v>109.56220015756537</v>
      </c>
      <c r="I36" s="964">
        <f t="shared" si="26"/>
        <v>3.3632056361266107</v>
      </c>
      <c r="J36" s="965">
        <f t="shared" si="30"/>
        <v>0.68030153517402658</v>
      </c>
      <c r="K36" s="26"/>
      <c r="L36" s="26"/>
      <c r="M36" s="26"/>
      <c r="N36" s="45"/>
      <c r="O36" s="45"/>
      <c r="P36" s="45"/>
      <c r="Q36" s="45"/>
      <c r="R36" s="45"/>
      <c r="S36" s="45"/>
      <c r="T36" s="46"/>
      <c r="U36" s="46"/>
      <c r="V36" s="46"/>
      <c r="W36" s="46"/>
    </row>
    <row r="37" spans="3:23" s="44" customFormat="1" ht="15" customHeight="1">
      <c r="C37" s="967" t="str">
        <f>IF(Indice_index!$Z$1=1,"Outras","Others")</f>
        <v>Outras</v>
      </c>
      <c r="D37" s="113">
        <v>15110.793519209996</v>
      </c>
      <c r="E37" s="113">
        <v>15869.876577999999</v>
      </c>
      <c r="F37" s="113">
        <v>15110.793519209996</v>
      </c>
      <c r="G37" s="113">
        <v>17639.159158539998</v>
      </c>
      <c r="H37" s="964">
        <f t="shared" si="25"/>
        <v>111.1486851951496</v>
      </c>
      <c r="I37" s="964">
        <f t="shared" si="26"/>
        <v>16.732183098893852</v>
      </c>
      <c r="J37" s="965">
        <f t="shared" si="30"/>
        <v>3.3953078211442138</v>
      </c>
      <c r="K37" s="26"/>
      <c r="L37" s="26"/>
      <c r="M37" s="26"/>
      <c r="N37" s="45"/>
      <c r="O37" s="45"/>
      <c r="P37" s="45"/>
      <c r="Q37" s="45"/>
      <c r="R37" s="45"/>
      <c r="S37" s="45"/>
      <c r="T37" s="46"/>
      <c r="U37" s="46"/>
      <c r="V37" s="46"/>
      <c r="W37" s="46"/>
    </row>
    <row r="38" spans="3:23" s="44" customFormat="1" ht="15" customHeight="1">
      <c r="C38" s="966" t="str">
        <f>IF(Indice_index!$Z$1=1,"Subsídios","Subsidies")</f>
        <v>Subsídios</v>
      </c>
      <c r="D38" s="113">
        <v>1111.77722782</v>
      </c>
      <c r="E38" s="113">
        <v>796.59153199999992</v>
      </c>
      <c r="F38" s="113">
        <v>1111.77722782</v>
      </c>
      <c r="G38" s="113">
        <v>883.45642309000027</v>
      </c>
      <c r="H38" s="964">
        <f t="shared" si="25"/>
        <v>110.90457123890194</v>
      </c>
      <c r="I38" s="964">
        <f t="shared" si="26"/>
        <v>-20.536560654124635</v>
      </c>
      <c r="J38" s="965">
        <f t="shared" si="30"/>
        <v>-0.30660890259335122</v>
      </c>
      <c r="K38" s="26"/>
      <c r="L38" s="26"/>
      <c r="M38" s="26"/>
      <c r="N38" s="45"/>
      <c r="O38" s="45"/>
      <c r="P38" s="45"/>
      <c r="Q38" s="45"/>
      <c r="R38" s="45"/>
      <c r="S38" s="45"/>
      <c r="T38" s="46"/>
      <c r="U38" s="46"/>
      <c r="V38" s="46"/>
      <c r="W38" s="46"/>
    </row>
    <row r="39" spans="3:23" s="44" customFormat="1" ht="15" customHeight="1">
      <c r="C39" s="966" t="str">
        <f>IF(Indice_index!$Z$1=1,"Outras despesas correntes","Other current expenditure")</f>
        <v>Outras despesas correntes</v>
      </c>
      <c r="D39" s="113">
        <v>637.71143391999976</v>
      </c>
      <c r="E39" s="113">
        <v>2291.9324200000001</v>
      </c>
      <c r="F39" s="113">
        <v>637.71143391999976</v>
      </c>
      <c r="G39" s="113">
        <v>962.63884536999933</v>
      </c>
      <c r="H39" s="964">
        <f t="shared" si="25"/>
        <v>42.001188035465695</v>
      </c>
      <c r="I39" s="964">
        <f>IF(IFERROR((G39-F39)/F39*100,"")&gt;500,"-",IFERROR((G39-F39)/F39*100,""))</f>
        <v>50.952106888326767</v>
      </c>
      <c r="J39" s="965">
        <f>IFERROR((G39-F39)/$F$49*100,"")</f>
        <v>0.43634060052037205</v>
      </c>
      <c r="K39" s="26"/>
      <c r="L39" s="26"/>
      <c r="M39" s="26"/>
      <c r="N39" s="45"/>
      <c r="O39" s="45"/>
      <c r="P39" s="45"/>
      <c r="Q39" s="45"/>
      <c r="R39" s="45"/>
      <c r="S39" s="45"/>
      <c r="T39" s="46"/>
      <c r="U39" s="46"/>
      <c r="V39" s="46"/>
      <c r="W39" s="46"/>
    </row>
    <row r="40" spans="3:23" s="44" customFormat="1" ht="15" customHeight="1">
      <c r="C40" s="966" t="str">
        <f>IF(Indice_index!$Z$1=1,"Diferenças de consolidação","Consolidation differences")</f>
        <v>Diferenças de consolidação</v>
      </c>
      <c r="D40" s="113">
        <v>133.86440091999941</v>
      </c>
      <c r="E40" s="113">
        <v>9.999994290410541E-7</v>
      </c>
      <c r="F40" s="113">
        <v>133.86440091999941</v>
      </c>
      <c r="G40" s="113">
        <v>38.926776739999774</v>
      </c>
      <c r="H40" s="964"/>
      <c r="I40" s="964"/>
      <c r="J40" s="965"/>
      <c r="K40" s="26"/>
      <c r="L40" s="26"/>
      <c r="M40" s="26"/>
      <c r="N40" s="45"/>
      <c r="O40" s="45"/>
      <c r="P40" s="45"/>
      <c r="Q40" s="45"/>
      <c r="R40" s="45"/>
      <c r="S40" s="45"/>
      <c r="T40" s="46"/>
      <c r="U40" s="46"/>
      <c r="V40" s="46"/>
      <c r="W40" s="46"/>
    </row>
    <row r="41" spans="3:23" s="267" customFormat="1" ht="15" customHeight="1">
      <c r="C41" s="268" t="str">
        <f>IF(Indice_index!$Z$1=1,"Despesa de capital","Capital expenditure")</f>
        <v>Despesa de capital</v>
      </c>
      <c r="D41" s="691">
        <f t="shared" ref="D41:E41" si="34">+D42+D43+D46+D47</f>
        <v>5525.7031684999965</v>
      </c>
      <c r="E41" s="691">
        <f t="shared" si="34"/>
        <v>8220.6554530000012</v>
      </c>
      <c r="F41" s="691">
        <f t="shared" ref="F41" si="35">+F42+F43+F46+F47</f>
        <v>5525.7031684999965</v>
      </c>
      <c r="G41" s="691">
        <f t="shared" ref="G41" si="36">+G42+G43+G46+G47</f>
        <v>5900.7818515000026</v>
      </c>
      <c r="H41" s="691">
        <f t="shared" si="25"/>
        <v>71.779943646058101</v>
      </c>
      <c r="I41" s="691">
        <f t="shared" si="26"/>
        <v>6.7878905464591703</v>
      </c>
      <c r="J41" s="962">
        <f t="shared" si="30"/>
        <v>0.503688060826464</v>
      </c>
      <c r="K41" s="262"/>
      <c r="L41" s="262"/>
      <c r="M41" s="262"/>
      <c r="N41" s="269"/>
      <c r="O41" s="269"/>
      <c r="P41" s="269"/>
      <c r="Q41" s="269"/>
      <c r="R41" s="269"/>
      <c r="S41" s="269"/>
      <c r="T41" s="270"/>
      <c r="U41" s="270"/>
      <c r="V41" s="270"/>
      <c r="W41" s="270"/>
    </row>
    <row r="42" spans="3:23" s="44" customFormat="1" ht="15" customHeight="1">
      <c r="C42" s="966" t="str">
        <f>IF(Indice_index!$Z$1=1,"Investimento","Investments")</f>
        <v>Investimento</v>
      </c>
      <c r="D42" s="113">
        <v>3423.9422135999971</v>
      </c>
      <c r="E42" s="113">
        <v>5795.8075239999998</v>
      </c>
      <c r="F42" s="113">
        <v>3423.9422135999971</v>
      </c>
      <c r="G42" s="113">
        <v>3872.6391439000022</v>
      </c>
      <c r="H42" s="964">
        <f t="shared" si="25"/>
        <v>66.817939137276326</v>
      </c>
      <c r="I42" s="964">
        <f t="shared" si="26"/>
        <v>13.104687588411041</v>
      </c>
      <c r="J42" s="965">
        <f t="shared" si="30"/>
        <v>0.60254900362224262</v>
      </c>
      <c r="K42" s="26"/>
      <c r="L42" s="26"/>
      <c r="M42" s="26"/>
      <c r="N42" s="45"/>
      <c r="O42" s="45"/>
      <c r="P42" s="45"/>
      <c r="Q42" s="45"/>
      <c r="R42" s="45"/>
      <c r="S42" s="45"/>
      <c r="T42" s="46"/>
      <c r="U42" s="46"/>
      <c r="V42" s="46"/>
      <c r="W42" s="46"/>
    </row>
    <row r="43" spans="3:23" s="44" customFormat="1" ht="15" customHeight="1">
      <c r="C43" s="966" t="str">
        <f>IF(Indice_index!$Z$1=1,"Transferências de capital","Capital transfers")</f>
        <v>Transferências de capital</v>
      </c>
      <c r="D43" s="113">
        <f t="shared" ref="D43:E43" si="37">+D44+D45</f>
        <v>1900.2181322400002</v>
      </c>
      <c r="E43" s="113">
        <f t="shared" si="37"/>
        <v>2185.9625120000001</v>
      </c>
      <c r="F43" s="113">
        <f t="shared" ref="F43" si="38">+F44+F45</f>
        <v>1900.2181322400002</v>
      </c>
      <c r="G43" s="113">
        <f t="shared" ref="G43" si="39">+G44+G45</f>
        <v>1639.6055988100002</v>
      </c>
      <c r="H43" s="964">
        <f t="shared" si="25"/>
        <v>75.006116976355543</v>
      </c>
      <c r="I43" s="964">
        <f t="shared" si="26"/>
        <v>-13.714874571941211</v>
      </c>
      <c r="J43" s="965">
        <f t="shared" si="30"/>
        <v>-0.34997302576757372</v>
      </c>
      <c r="K43" s="26"/>
      <c r="L43" s="26"/>
      <c r="M43" s="26"/>
      <c r="N43" s="45"/>
      <c r="O43" s="45"/>
      <c r="P43" s="45"/>
      <c r="Q43" s="45"/>
      <c r="R43" s="45"/>
      <c r="S43" s="45"/>
      <c r="T43" s="46"/>
      <c r="U43" s="46"/>
      <c r="V43" s="46"/>
      <c r="W43" s="46"/>
    </row>
    <row r="44" spans="3:23" s="44" customFormat="1" ht="15" customHeight="1">
      <c r="C44" s="967" t="str">
        <f>IF(Indice_index!$Z$1=1,"Administrações Públicas","General Government subsectors")</f>
        <v>Administrações Públicas</v>
      </c>
      <c r="D44" s="113">
        <v>607.72723998000015</v>
      </c>
      <c r="E44" s="113">
        <v>639.86872000000005</v>
      </c>
      <c r="F44" s="113">
        <v>607.72723998000015</v>
      </c>
      <c r="G44" s="113">
        <v>518.31871147999993</v>
      </c>
      <c r="H44" s="964">
        <f t="shared" si="25"/>
        <v>81.003914596731647</v>
      </c>
      <c r="I44" s="964">
        <f t="shared" si="26"/>
        <v>-14.711950134560791</v>
      </c>
      <c r="J44" s="965">
        <f t="shared" si="30"/>
        <v>-0.1200654966081131</v>
      </c>
      <c r="K44" s="26"/>
      <c r="L44" s="26"/>
      <c r="M44" s="26"/>
      <c r="N44" s="45"/>
      <c r="O44" s="45"/>
      <c r="P44" s="45"/>
      <c r="Q44" s="45"/>
      <c r="R44" s="45"/>
      <c r="S44" s="45"/>
      <c r="T44" s="46"/>
      <c r="U44" s="46"/>
      <c r="V44" s="46"/>
      <c r="W44" s="46"/>
    </row>
    <row r="45" spans="3:23" s="44" customFormat="1" ht="15" customHeight="1">
      <c r="C45" s="967" t="str">
        <f>IF(Indice_index!$Z$1=1,"Outras","Others")</f>
        <v>Outras</v>
      </c>
      <c r="D45" s="113">
        <v>1292.49089226</v>
      </c>
      <c r="E45" s="113">
        <v>1546.0937920000001</v>
      </c>
      <c r="F45" s="113">
        <v>1292.49089226</v>
      </c>
      <c r="G45" s="113">
        <v>1121.2868873300001</v>
      </c>
      <c r="H45" s="964">
        <f t="shared" si="25"/>
        <v>72.523859362990066</v>
      </c>
      <c r="I45" s="964">
        <f t="shared" si="26"/>
        <v>-13.246051167961356</v>
      </c>
      <c r="J45" s="965">
        <f t="shared" si="30"/>
        <v>-0.22990752915946078</v>
      </c>
      <c r="K45" s="26"/>
      <c r="L45" s="26"/>
      <c r="M45" s="26"/>
      <c r="N45" s="45"/>
      <c r="O45" s="45"/>
      <c r="P45" s="45"/>
      <c r="Q45" s="45"/>
      <c r="R45" s="45"/>
      <c r="S45" s="45"/>
      <c r="T45" s="46"/>
      <c r="U45" s="46"/>
      <c r="V45" s="46"/>
      <c r="W45" s="46"/>
    </row>
    <row r="46" spans="3:23" s="44" customFormat="1" ht="15" customHeight="1">
      <c r="C46" s="966" t="str">
        <f>IF(Indice_index!$Z$1=1,"Outras despesas de capital","Other capital expenditure")</f>
        <v>Outras despesas de capital</v>
      </c>
      <c r="D46" s="113">
        <v>149.79872605000003</v>
      </c>
      <c r="E46" s="113">
        <v>236.364294</v>
      </c>
      <c r="F46" s="113">
        <v>149.79872605000003</v>
      </c>
      <c r="G46" s="113">
        <v>329.72275674999997</v>
      </c>
      <c r="H46" s="964">
        <f t="shared" si="25"/>
        <v>139.49770126870348</v>
      </c>
      <c r="I46" s="964">
        <f t="shared" si="26"/>
        <v>120.11052126033745</v>
      </c>
      <c r="J46" s="965">
        <f t="shared" si="30"/>
        <v>0.24161753313867396</v>
      </c>
      <c r="K46" s="26"/>
      <c r="L46" s="26"/>
      <c r="M46" s="26"/>
      <c r="N46" s="45"/>
      <c r="O46" s="45"/>
      <c r="P46" s="45"/>
      <c r="Q46" s="45"/>
      <c r="R46" s="45"/>
      <c r="S46" s="45"/>
      <c r="T46" s="46"/>
      <c r="U46" s="46"/>
      <c r="V46" s="46"/>
      <c r="W46" s="46"/>
    </row>
    <row r="47" spans="3:23" s="44" customFormat="1" ht="15" customHeight="1">
      <c r="C47" s="966" t="str">
        <f>IF(Indice_index!$Z$1=1,"Diferenças de consolidação","Consolidation differences")</f>
        <v>Diferenças de consolidação</v>
      </c>
      <c r="D47" s="113">
        <v>51.744096609999815</v>
      </c>
      <c r="E47" s="113">
        <v>2.5211229999999887</v>
      </c>
      <c r="F47" s="113">
        <v>51.744096609999815</v>
      </c>
      <c r="G47" s="113">
        <v>58.814352039999825</v>
      </c>
      <c r="H47" s="964"/>
      <c r="I47" s="964"/>
      <c r="J47" s="965"/>
      <c r="K47" s="26"/>
      <c r="L47" s="26"/>
      <c r="M47" s="26"/>
      <c r="N47" s="45"/>
      <c r="O47" s="45"/>
      <c r="P47" s="45"/>
      <c r="Q47" s="45"/>
      <c r="R47" s="45"/>
      <c r="S47" s="45"/>
      <c r="T47" s="46"/>
      <c r="U47" s="46"/>
      <c r="V47" s="46"/>
      <c r="W47" s="46"/>
    </row>
    <row r="48" spans="3:23" s="44" customFormat="1" ht="4.5" customHeight="1">
      <c r="F48" s="113"/>
      <c r="G48" s="113"/>
      <c r="H48" s="965"/>
      <c r="I48" s="965"/>
      <c r="J48" s="965"/>
      <c r="K48" s="26"/>
      <c r="L48" s="26"/>
      <c r="M48" s="26"/>
      <c r="N48" s="45"/>
      <c r="O48" s="45"/>
      <c r="P48" s="45"/>
      <c r="Q48" s="45"/>
      <c r="R48" s="45"/>
      <c r="S48" s="45"/>
      <c r="T48" s="46"/>
      <c r="U48" s="46"/>
      <c r="V48" s="46"/>
      <c r="W48" s="46"/>
    </row>
    <row r="49" spans="3:23" s="268" customFormat="1" ht="15" customHeight="1">
      <c r="C49" s="968" t="str">
        <f>IF(Indice_index!$Z$1=1,"Despesa efetiva","Effective Expenditure")</f>
        <v>Despesa efetiva</v>
      </c>
      <c r="D49" s="693">
        <f t="shared" ref="D49:E49" si="40">+D28+D41</f>
        <v>74466.462910510032</v>
      </c>
      <c r="E49" s="693">
        <f t="shared" si="40"/>
        <v>79303.155152999985</v>
      </c>
      <c r="F49" s="693">
        <f t="shared" ref="F49" si="41">+F28+F41</f>
        <v>74466.462910510032</v>
      </c>
      <c r="G49" s="693">
        <f t="shared" ref="G49" si="42">+G28+G41</f>
        <v>78854.811973539996</v>
      </c>
      <c r="H49" s="970">
        <f>IFERROR(IF(G49/E49*100&lt;-500,"-",IF(G49/E49*100&gt;500,"-",G49/E49*100)),"-")</f>
        <v>99.434646479582057</v>
      </c>
      <c r="I49" s="970">
        <f>IFERROR((G49-F49)/F49*100,"")</f>
        <v>5.8930542575973517</v>
      </c>
      <c r="J49" s="970"/>
      <c r="K49" s="262"/>
      <c r="L49" s="262"/>
      <c r="M49" s="262"/>
      <c r="N49" s="269"/>
      <c r="O49" s="269"/>
      <c r="P49" s="269"/>
      <c r="Q49" s="269"/>
      <c r="R49" s="269"/>
      <c r="S49" s="269"/>
      <c r="T49" s="270"/>
      <c r="U49" s="270"/>
      <c r="V49" s="270"/>
      <c r="W49" s="270"/>
    </row>
    <row r="50" spans="3:23" ht="4.5" customHeight="1">
      <c r="F50" s="22"/>
      <c r="G50" s="22"/>
      <c r="H50" s="972"/>
      <c r="I50" s="972"/>
      <c r="J50" s="972"/>
      <c r="K50" s="26"/>
      <c r="L50" s="26"/>
      <c r="M50" s="26"/>
      <c r="N50" s="45"/>
      <c r="O50" s="45"/>
      <c r="P50" s="45"/>
      <c r="Q50" s="45"/>
      <c r="R50" s="45"/>
      <c r="S50" s="45"/>
      <c r="T50" s="46"/>
      <c r="U50" s="46"/>
      <c r="V50" s="46"/>
      <c r="W50" s="46"/>
    </row>
    <row r="51" spans="3:23" s="266" customFormat="1" ht="15" customHeight="1">
      <c r="C51" s="968" t="str">
        <f>IF(Indice_index!$Z$1=1,"Saldo global","Overall balance")</f>
        <v>Saldo global</v>
      </c>
      <c r="D51" s="693">
        <f t="shared" ref="D51:E51" si="43">+D26-D49</f>
        <v>-10622.719730020035</v>
      </c>
      <c r="E51" s="693">
        <f t="shared" si="43"/>
        <v>-7769.5826579999848</v>
      </c>
      <c r="F51" s="693">
        <f t="shared" ref="F51" si="44">+F26-F49</f>
        <v>-10622.719730020035</v>
      </c>
      <c r="G51" s="693">
        <f t="shared" ref="G51" si="45">+G26-G49</f>
        <v>-7795.903650999986</v>
      </c>
      <c r="H51" s="970"/>
      <c r="I51" s="970"/>
      <c r="J51" s="970"/>
      <c r="K51" s="262"/>
      <c r="L51" s="262"/>
      <c r="M51" s="262"/>
      <c r="N51" s="269"/>
      <c r="O51" s="269"/>
      <c r="P51" s="269"/>
      <c r="Q51" s="269"/>
      <c r="R51" s="269"/>
      <c r="S51" s="269"/>
      <c r="T51" s="270"/>
      <c r="U51" s="270"/>
      <c r="V51" s="270"/>
      <c r="W51" s="270"/>
    </row>
    <row r="52" spans="3:23" ht="15" customHeight="1">
      <c r="C52" s="694" t="str">
        <f>IF(Indice_index!$Z$1=1,"   Por memória:","   Memo item:")</f>
        <v xml:space="preserve">   Por memória:</v>
      </c>
      <c r="D52" s="694"/>
      <c r="E52" s="694"/>
      <c r="F52" s="22"/>
      <c r="G52" s="22"/>
      <c r="H52" s="972"/>
      <c r="I52" s="972"/>
      <c r="J52" s="972"/>
      <c r="K52" s="26"/>
      <c r="L52" s="26"/>
      <c r="M52" s="26"/>
      <c r="N52" s="45"/>
      <c r="O52" s="45"/>
      <c r="P52" s="45"/>
      <c r="Q52" s="45"/>
      <c r="R52" s="45"/>
      <c r="S52" s="45"/>
      <c r="T52" s="46"/>
      <c r="U52" s="46"/>
      <c r="V52" s="46"/>
      <c r="W52" s="46"/>
    </row>
    <row r="53" spans="3:23" ht="15" customHeight="1">
      <c r="C53" s="966" t="str">
        <f>IF(Indice_index!$Z$1=1,"Despesa primária","Primary expenditure")</f>
        <v>Despesa primária</v>
      </c>
      <c r="D53" s="113">
        <f t="shared" ref="D53:E53" si="46">+D49-D34</f>
        <v>67669.780610580026</v>
      </c>
      <c r="E53" s="113">
        <f t="shared" si="46"/>
        <v>72671.78551799999</v>
      </c>
      <c r="F53" s="113">
        <f t="shared" ref="F53" si="47">+F49-F34</f>
        <v>67669.780610580026</v>
      </c>
      <c r="G53" s="113">
        <f t="shared" ref="G53" si="48">+G49-G34</f>
        <v>72439.052975489991</v>
      </c>
      <c r="H53" s="965">
        <f>IFERROR(IF(G53/E53*100&lt;-500,"-",IF(G53/E53*100&gt;500,"-",G53/E53*100)),"-")</f>
        <v>99.67974841838398</v>
      </c>
      <c r="I53" s="965">
        <f t="shared" ref="I53" si="49">IFERROR((G53-F53)/F53*100,"")</f>
        <v>7.0478614262926964</v>
      </c>
      <c r="J53" s="965">
        <f t="shared" ref="J53" si="50">IFERROR((G53-F53)/$F$49*100,"")</f>
        <v>6.404590977607505</v>
      </c>
      <c r="K53" s="26"/>
      <c r="L53" s="26"/>
      <c r="M53" s="26"/>
      <c r="N53" s="45"/>
      <c r="O53" s="45"/>
      <c r="P53" s="45"/>
      <c r="Q53" s="45"/>
      <c r="R53" s="45"/>
      <c r="S53" s="45"/>
      <c r="T53" s="46"/>
      <c r="U53" s="46"/>
      <c r="V53" s="46"/>
      <c r="W53" s="46"/>
    </row>
    <row r="54" spans="3:23" s="44" customFormat="1" ht="15" customHeight="1">
      <c r="C54" s="966" t="str">
        <f>IF(Indice_index!$Z$1=1,"Saldo corrente","Current balance")</f>
        <v>Saldo corrente</v>
      </c>
      <c r="D54" s="113">
        <f t="shared" ref="D54:E54" si="51">+D8-D28</f>
        <v>-6311.4677687500371</v>
      </c>
      <c r="E54" s="113">
        <f t="shared" si="51"/>
        <v>-3215.2994209999888</v>
      </c>
      <c r="F54" s="113">
        <f t="shared" ref="F54" si="52">+F8-F28</f>
        <v>-6311.4677687500371</v>
      </c>
      <c r="G54" s="113">
        <f t="shared" ref="G54" si="53">+G8-G28</f>
        <v>-3463.4449317499966</v>
      </c>
      <c r="H54" s="113"/>
      <c r="I54" s="113"/>
      <c r="J54" s="113"/>
      <c r="K54" s="26"/>
      <c r="L54" s="26"/>
      <c r="M54" s="26"/>
      <c r="N54" s="45"/>
      <c r="O54" s="45"/>
      <c r="P54" s="45"/>
      <c r="Q54" s="45"/>
      <c r="R54" s="45"/>
      <c r="S54" s="45"/>
      <c r="T54" s="46"/>
      <c r="U54" s="46"/>
      <c r="V54" s="46"/>
      <c r="W54" s="46"/>
    </row>
    <row r="55" spans="3:23" s="44" customFormat="1" ht="15" customHeight="1">
      <c r="C55" s="966" t="str">
        <f>IF(Indice_index!$Z$1=1,"Saldo de capital","Capital balance")</f>
        <v>Saldo de capital</v>
      </c>
      <c r="D55" s="113">
        <f t="shared" ref="D55:E55" si="54">+D18-D41</f>
        <v>-4311.2519612699962</v>
      </c>
      <c r="E55" s="113">
        <f t="shared" si="54"/>
        <v>-4554.2832370000015</v>
      </c>
      <c r="F55" s="113">
        <f t="shared" ref="F55" si="55">+F18-F41</f>
        <v>-4311.2519612699962</v>
      </c>
      <c r="G55" s="113">
        <f t="shared" ref="G55" si="56">+G18-G41</f>
        <v>-4332.4587192500021</v>
      </c>
      <c r="H55" s="113"/>
      <c r="I55" s="113"/>
      <c r="J55" s="113"/>
      <c r="K55" s="26"/>
      <c r="L55" s="26"/>
      <c r="M55" s="26"/>
      <c r="N55" s="45"/>
      <c r="O55" s="45"/>
      <c r="P55" s="45"/>
      <c r="Q55" s="45"/>
      <c r="R55" s="45"/>
      <c r="S55" s="45"/>
      <c r="T55" s="46"/>
      <c r="U55" s="46"/>
      <c r="V55" s="46"/>
      <c r="W55" s="46"/>
    </row>
    <row r="56" spans="3:23" ht="15" customHeight="1">
      <c r="C56" s="973" t="str">
        <f>IF(Indice_index!$Z$1=1,"Saldo primário","Primary balance")</f>
        <v>Saldo primário</v>
      </c>
      <c r="D56" s="695">
        <f t="shared" ref="D56:E56" si="57">+D51+D34</f>
        <v>-3826.0374300900357</v>
      </c>
      <c r="E56" s="695">
        <f t="shared" si="57"/>
        <v>-1138.2130229999857</v>
      </c>
      <c r="F56" s="695">
        <f t="shared" ref="F56" si="58">+F51+F34</f>
        <v>-3826.0374300900357</v>
      </c>
      <c r="G56" s="695">
        <f t="shared" ref="G56" si="59">+G51+G34</f>
        <v>-1380.1446529499844</v>
      </c>
      <c r="H56" s="695"/>
      <c r="I56" s="695"/>
      <c r="J56" s="69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951" t="str">
        <f>IF(Indice_index!$Z$1=1,"Nota:","Note:")</f>
        <v>Nota:</v>
      </c>
      <c r="D58" s="62"/>
      <c r="E58" s="62"/>
      <c r="F58" s="53"/>
      <c r="G58" s="53"/>
      <c r="H58" s="53"/>
      <c r="I58" s="53"/>
      <c r="J58" s="53"/>
      <c r="K58" s="24"/>
      <c r="L58" s="43"/>
      <c r="M58" s="45"/>
      <c r="N58" s="45"/>
      <c r="P58" s="45"/>
      <c r="Q58" s="45"/>
      <c r="R58" s="45"/>
      <c r="S58" s="45"/>
    </row>
    <row r="59" spans="3:23" s="22" customFormat="1" ht="12.75" customHeight="1">
      <c r="C59" s="1716" t="str">
        <f>+'5 - Conta AC + SS'!$C$64</f>
        <v>Os dados da execução acumulada de 2021 correspondem aos valores publicados na Conta Geral do Estado.</v>
      </c>
      <c r="D59" s="1716"/>
      <c r="E59" s="1716"/>
      <c r="F59" s="1716"/>
      <c r="G59" s="1716"/>
      <c r="H59" s="1716"/>
      <c r="I59" s="1716"/>
      <c r="J59" s="1716"/>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Fonte: Direção-Geral do Orçamento</v>
      </c>
      <c r="D61" s="113"/>
      <c r="E61" s="113"/>
      <c r="F61" s="974"/>
      <c r="G61" s="974"/>
      <c r="H61" s="42"/>
      <c r="I61" s="626"/>
      <c r="L61" s="43"/>
      <c r="M61" s="45"/>
      <c r="N61" s="45"/>
    </row>
    <row r="62" spans="3:23" s="48" customFormat="1" ht="11.25" customHeight="1">
      <c r="F62" s="31"/>
      <c r="G62" s="31"/>
      <c r="H62" s="626"/>
      <c r="L62" s="43"/>
      <c r="M62" s="45"/>
      <c r="N62" s="45"/>
    </row>
    <row r="63" spans="3:23" s="48" customFormat="1" ht="11.25" customHeight="1">
      <c r="C63" s="1720"/>
      <c r="D63" s="1720"/>
      <c r="E63" s="1720"/>
      <c r="F63" s="1720"/>
      <c r="G63" s="1720"/>
      <c r="H63" s="1720"/>
      <c r="I63" s="1720"/>
      <c r="J63" s="1720"/>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7 D43:E43 D35:E35 D27:G27 D20:E20 D13:E13 D41:E41 D18:E18 F122:G1048576 F1:G4 F57:G58 H18:H28 K1:XFD59 E8:E9 G8:G9 D25:E26 G25:G26 G20 G13 G18 G43 G35 D28:E29 G28:G29 G41:H41 G48:G56"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0"/>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2" customWidth="1"/>
    <col min="4" max="4" width="6.140625" style="62" hidden="1" customWidth="1"/>
    <col min="5" max="5" width="9.42578125" style="62" customWidth="1"/>
    <col min="6" max="10" width="9.42578125" style="53" customWidth="1"/>
    <col min="11" max="14" width="8.5703125" style="53" customWidth="1"/>
    <col min="15" max="16384" width="9.140625" style="53"/>
  </cols>
  <sheetData>
    <row r="1" spans="2:15" s="50" customFormat="1" ht="15" customHeight="1">
      <c r="B1" s="49"/>
      <c r="C1" s="49"/>
      <c r="D1" s="49"/>
      <c r="E1" s="49"/>
    </row>
    <row r="2" spans="2:15" ht="24" customHeight="1">
      <c r="B2" s="8"/>
      <c r="C2" s="51" t="str">
        <f>IF(Indice_index!$Z$1=1,"7 - Execução Orçamental do Estado","7 - State Budget Execution")</f>
        <v>7 - Execução Orçamental do Estado</v>
      </c>
      <c r="D2" s="51"/>
      <c r="E2" s="51"/>
      <c r="F2" s="51"/>
      <c r="G2" s="51"/>
      <c r="H2" s="51"/>
      <c r="I2" s="51"/>
      <c r="J2" s="51"/>
    </row>
    <row r="3" spans="2:15" ht="15" customHeight="1">
      <c r="C3" s="54"/>
      <c r="D3" s="54"/>
      <c r="E3" s="54"/>
    </row>
    <row r="4" spans="2:15" ht="15" customHeight="1">
      <c r="C4" s="53"/>
      <c r="D4" s="53"/>
      <c r="E4" s="53"/>
    </row>
    <row r="5" spans="2:15" s="271" customFormat="1" ht="15" customHeight="1">
      <c r="C5" s="760" t="str">
        <f>+'5 - Conta AC + SS'!C5</f>
        <v>Período: janeiro a dezembro</v>
      </c>
      <c r="D5" s="760"/>
      <c r="E5" s="760"/>
      <c r="F5" s="761"/>
      <c r="J5" s="956" t="str">
        <f>IF(Indice_index!$Z$1=1,"€ Milhões","€ Millions")</f>
        <v>€ Milhões</v>
      </c>
    </row>
    <row r="6" spans="2:15" ht="33" customHeight="1">
      <c r="C6" s="763"/>
      <c r="D6" s="686" t="str">
        <f>IF(Indice_index!$Z$1=1,"CGE","Final execution")</f>
        <v>CGE</v>
      </c>
      <c r="E6" s="686" t="str">
        <f>IF(Indice_index!$Z$1=1,"Orçamento Inicial","Budget")</f>
        <v>Orçamento Inicial</v>
      </c>
      <c r="F6" s="1721" t="str">
        <f>IF(Indice_index!$Z$1=1,"Execução Acumulada","Accumulated Execution")</f>
        <v>Execução Acumulada</v>
      </c>
      <c r="G6" s="1721"/>
      <c r="H6" s="1013" t="str">
        <f>IF(Indice_index!$Z$1=1,"Grau de Execução (%)","Execution Degree (%)")</f>
        <v>Grau de Execução (%)</v>
      </c>
      <c r="I6" s="1718" t="str">
        <f>IF(Indice_index!$Z$1=1,"Variação Homóloga Acumulada","YOY Change Rate")</f>
        <v>Variação Homóloga Acumulada</v>
      </c>
      <c r="J6" s="1719"/>
    </row>
    <row r="7" spans="2:15" ht="33.75" customHeight="1">
      <c r="C7" s="1014"/>
      <c r="D7" s="687" t="s">
        <v>67</v>
      </c>
      <c r="E7" s="687" t="s">
        <v>73</v>
      </c>
      <c r="F7" s="765" t="s">
        <v>67</v>
      </c>
      <c r="G7" s="765" t="s">
        <v>73</v>
      </c>
      <c r="H7" s="767" t="s">
        <v>73</v>
      </c>
      <c r="I7" s="767" t="str">
        <f>IF(Indice_index!$Z$1=1,"Relativa (%)","Relative change (%)")</f>
        <v>Relativa (%)</v>
      </c>
      <c r="J7" s="768" t="str">
        <f>IF(Indice_index!$Z$1=1,"Contributo VHA (p.p.)","YOY Change Rate Contrib. (p.p.)")</f>
        <v>Contributo VHA (p.p.)</v>
      </c>
    </row>
    <row r="8" spans="2:15" ht="4.5" customHeight="1">
      <c r="C8" s="463"/>
      <c r="D8" s="463"/>
      <c r="E8" s="463"/>
      <c r="F8" s="793"/>
      <c r="G8" s="793"/>
      <c r="H8" s="85"/>
      <c r="I8" s="85"/>
      <c r="J8" s="85"/>
    </row>
    <row r="9" spans="2:15" s="271" customFormat="1" ht="15" customHeight="1">
      <c r="C9" s="760" t="str">
        <f>IF(Indice_index!$Z$1=1,"Receita corrente","Current revenue")</f>
        <v>Receita corrente</v>
      </c>
      <c r="D9" s="794">
        <f>+D10+D13+D14+D15+D20+D21</f>
        <v>49989.363712130005</v>
      </c>
      <c r="E9" s="794">
        <f>+E10+E13+E14+E15+E20+E21</f>
        <v>53187.510257999995</v>
      </c>
      <c r="F9" s="794">
        <f>+F10+F13+F14+F15+F20+F21</f>
        <v>49989.363712130005</v>
      </c>
      <c r="G9" s="794">
        <f>+G10+G13+G14+G15+G20+G21</f>
        <v>56510.411236439992</v>
      </c>
      <c r="H9" s="795">
        <f>IFERROR(IF(G9/E9*100&lt;-500,"-",IF(G9/E9*100&gt;500,"-",G9/E9*100)),"-")</f>
        <v>106.24752119872014</v>
      </c>
      <c r="I9" s="795">
        <f>IF(IFERROR((G9-F9)/F9*100,"")&gt;500,"-",IFERROR((G9-F9)/F9*100,""))</f>
        <v>13.044870028476963</v>
      </c>
      <c r="J9" s="795">
        <f t="shared" ref="J9:J20" si="0">IFERROR((G9-F9)/$F$32*100,"-")</f>
        <v>13.022787098243901</v>
      </c>
      <c r="K9" s="273"/>
      <c r="M9" s="274"/>
      <c r="N9" s="275"/>
      <c r="O9" s="275"/>
    </row>
    <row r="10" spans="2:15" ht="15" customHeight="1">
      <c r="C10" s="796" t="str">
        <f>IF(Indice_index!$Z$1=1,"Receita Fiscal","Tax")</f>
        <v>Receita Fiscal</v>
      </c>
      <c r="D10" s="797">
        <f t="shared" ref="D10:E10" si="1">SUM(D11:D12)</f>
        <v>45591.223834090008</v>
      </c>
      <c r="E10" s="797">
        <f t="shared" si="1"/>
        <v>48591.105513000002</v>
      </c>
      <c r="F10" s="797">
        <f t="shared" ref="F10" si="2">SUM(F11:F12)</f>
        <v>45591.223834090008</v>
      </c>
      <c r="G10" s="797">
        <f t="shared" ref="G10" si="3">SUM(G11:G12)</f>
        <v>52024.691187679993</v>
      </c>
      <c r="H10" s="798">
        <f t="shared" ref="H10:H29" si="4">IFERROR(IF(G10/E10*100&lt;-500,"-",IF(G10/E10*100&gt;500,"-",G10/E10*100)),"-")</f>
        <v>107.0662843300846</v>
      </c>
      <c r="I10" s="798">
        <f t="shared" ref="I10:I20" si="5">IF(IFERROR((G10-F10)/F10*100,"")&gt;500,"-",IFERROR((G10-F10)/F10*100,""))</f>
        <v>14.111196876402948</v>
      </c>
      <c r="J10" s="798">
        <f t="shared" si="0"/>
        <v>12.847886069986924</v>
      </c>
      <c r="K10" s="57"/>
      <c r="M10" s="58"/>
      <c r="N10" s="59"/>
      <c r="O10" s="59"/>
    </row>
    <row r="11" spans="2:15" ht="15" customHeight="1">
      <c r="C11" s="799" t="str">
        <f>IF(Indice_index!$Z$1=1,"Impostos diretos","Direct taxes")</f>
        <v>Impostos diretos</v>
      </c>
      <c r="D11" s="800">
        <f>+'8 - R_Est'!D10</f>
        <v>19956.94299525</v>
      </c>
      <c r="E11" s="800">
        <f>+'8 - R_Est'!E10</f>
        <v>20904.899710000002</v>
      </c>
      <c r="F11" s="800">
        <f>+'8 - R_Est'!F10</f>
        <v>19956.94299525</v>
      </c>
      <c r="G11" s="800">
        <f>+'8 - R_Est'!G10</f>
        <v>23377.274777119997</v>
      </c>
      <c r="H11" s="801">
        <f t="shared" si="4"/>
        <v>111.82677315566035</v>
      </c>
      <c r="I11" s="801">
        <f t="shared" si="5"/>
        <v>17.138555652957869</v>
      </c>
      <c r="J11" s="801">
        <f t="shared" si="0"/>
        <v>6.8305364183591566</v>
      </c>
      <c r="K11" s="57"/>
      <c r="M11" s="58"/>
      <c r="N11" s="59"/>
      <c r="O11" s="59"/>
    </row>
    <row r="12" spans="2:15" ht="15" customHeight="1">
      <c r="C12" s="799" t="str">
        <f>IF(Indice_index!$Z$1=1,"Impostos indiretos","Indirect taxes")</f>
        <v>Impostos indiretos</v>
      </c>
      <c r="D12" s="800">
        <f>+'8 - R_Est'!D14</f>
        <v>25634.280838840004</v>
      </c>
      <c r="E12" s="800">
        <f>+'8 - R_Est'!E14</f>
        <v>27686.205802999997</v>
      </c>
      <c r="F12" s="800">
        <f>+'8 - R_Est'!F14</f>
        <v>25634.280838840004</v>
      </c>
      <c r="G12" s="800">
        <f>+'8 - R_Est'!G14</f>
        <v>28647.416410559996</v>
      </c>
      <c r="H12" s="801">
        <f t="shared" si="4"/>
        <v>103.47180330305802</v>
      </c>
      <c r="I12" s="801">
        <f t="shared" si="5"/>
        <v>11.754320671850534</v>
      </c>
      <c r="J12" s="801">
        <f t="shared" si="0"/>
        <v>6.0173496516277751</v>
      </c>
      <c r="K12" s="57"/>
      <c r="M12" s="58"/>
      <c r="N12" s="59"/>
      <c r="O12" s="59"/>
    </row>
    <row r="13" spans="2:15" ht="15" customHeight="1">
      <c r="C13" s="796" t="str">
        <f>IF(Indice_index!$Z$1=1,"Contribuições para Segurança Social, CGA e ADSE","Social security, CGA and ADSE contributions")</f>
        <v>Contribuições para Segurança Social, CGA e ADSE</v>
      </c>
      <c r="D13" s="800">
        <f>+'8 - R_Est'!D24</f>
        <v>66.578526589999996</v>
      </c>
      <c r="E13" s="800">
        <f>+'8 - R_Est'!E24</f>
        <v>75.073003999999997</v>
      </c>
      <c r="F13" s="800">
        <f>+'8 - R_Est'!F24</f>
        <v>66.578526589999996</v>
      </c>
      <c r="G13" s="800">
        <f>+'8 - R_Est'!G24</f>
        <v>72.325494370000001</v>
      </c>
      <c r="H13" s="801">
        <f t="shared" si="4"/>
        <v>96.34021621140937</v>
      </c>
      <c r="I13" s="801">
        <f t="shared" si="5"/>
        <v>8.6318638671454053</v>
      </c>
      <c r="J13" s="801">
        <f t="shared" si="0"/>
        <v>1.1476919556314183E-2</v>
      </c>
      <c r="K13" s="57"/>
      <c r="M13" s="58"/>
      <c r="N13" s="59"/>
      <c r="O13" s="59"/>
    </row>
    <row r="14" spans="2:15" ht="15" customHeight="1">
      <c r="C14" s="796" t="str">
        <f>IF(Indice_index!$Z$1=1,"Taxas, Multas e Outras Penalidades","Taxes, fines and other penalties")</f>
        <v>Taxas, Multas e Outras Penalidades</v>
      </c>
      <c r="D14" s="800">
        <f>+'8 - R_Est'!D30</f>
        <v>857.09185406000006</v>
      </c>
      <c r="E14" s="800">
        <f>+'8 - R_Est'!E30</f>
        <v>1005.0051129999999</v>
      </c>
      <c r="F14" s="800">
        <f>+'8 - R_Est'!F30</f>
        <v>857.09185406000006</v>
      </c>
      <c r="G14" s="800">
        <f>+'8 - R_Est'!G30</f>
        <v>1000.5390022699999</v>
      </c>
      <c r="H14" s="801">
        <f t="shared" si="4"/>
        <v>99.555613133482623</v>
      </c>
      <c r="I14" s="801">
        <f t="shared" si="5"/>
        <v>16.736496506237692</v>
      </c>
      <c r="J14" s="801">
        <f t="shared" si="0"/>
        <v>0.28646956858158062</v>
      </c>
      <c r="K14" s="57"/>
      <c r="M14" s="58"/>
      <c r="N14" s="59"/>
      <c r="O14" s="59"/>
    </row>
    <row r="15" spans="2:15" ht="15" customHeight="1">
      <c r="C15" s="796" t="str">
        <f>IF(Indice_index!$Z$1=1,"Transferências Correntes","Current transfers")</f>
        <v>Transferências Correntes</v>
      </c>
      <c r="D15" s="800">
        <f>SUM(D16:D19)</f>
        <v>1214.3733370100001</v>
      </c>
      <c r="E15" s="800">
        <f>SUM(E16:E19)</f>
        <v>1338.8009099999999</v>
      </c>
      <c r="F15" s="800">
        <f>SUM(F16:F19)</f>
        <v>1214.3733370100001</v>
      </c>
      <c r="G15" s="800">
        <f>SUM(G16:G19)</f>
        <v>979.48103572000036</v>
      </c>
      <c r="H15" s="801">
        <f t="shared" si="4"/>
        <v>73.161067370353109</v>
      </c>
      <c r="I15" s="801">
        <f t="shared" si="5"/>
        <v>-19.342676105549693</v>
      </c>
      <c r="J15" s="801">
        <f t="shared" si="0"/>
        <v>-0.46908911786222651</v>
      </c>
      <c r="K15" s="57"/>
      <c r="M15" s="58"/>
      <c r="N15" s="59"/>
      <c r="O15" s="59"/>
    </row>
    <row r="16" spans="2:15" ht="15" customHeight="1">
      <c r="C16" s="799" t="str">
        <f>IF(Indice_index!$Z$1=1,"Administração Central","Central Administration")</f>
        <v>Administração Central</v>
      </c>
      <c r="D16" s="800">
        <f>+'8 - R_Est'!D40</f>
        <v>528.42067895000002</v>
      </c>
      <c r="E16" s="800">
        <f>+'8 - R_Est'!E40</f>
        <v>559.4232750000001</v>
      </c>
      <c r="F16" s="800">
        <f>+'8 - R_Est'!F40</f>
        <v>528.42067895000002</v>
      </c>
      <c r="G16" s="800">
        <f>+'8 - R_Est'!G40</f>
        <v>494.41250788000025</v>
      </c>
      <c r="H16" s="798">
        <f t="shared" si="4"/>
        <v>88.378966334570222</v>
      </c>
      <c r="I16" s="798">
        <f t="shared" si="5"/>
        <v>-6.4358138174258857</v>
      </c>
      <c r="J16" s="798">
        <f t="shared" si="0"/>
        <v>-6.7915648489638533E-2</v>
      </c>
      <c r="K16" s="57"/>
      <c r="M16" s="58"/>
      <c r="N16" s="59"/>
      <c r="O16" s="59"/>
    </row>
    <row r="17" spans="3:15" ht="15" customHeight="1">
      <c r="C17" s="802" t="str">
        <f>IF(Indice_index!$Z$1=1,"Outros subsectores das AP","Other General Government subsectors")</f>
        <v>Outros subsectores das AP</v>
      </c>
      <c r="D17" s="800">
        <f>+'8 - R_Est'!D41</f>
        <v>215.78015270999998</v>
      </c>
      <c r="E17" s="800">
        <f>+'8 - R_Est'!E41</f>
        <v>260.91179099999999</v>
      </c>
      <c r="F17" s="800">
        <f>+'8 - R_Est'!F41</f>
        <v>215.78015270999998</v>
      </c>
      <c r="G17" s="800">
        <f>+'8 - R_Est'!G41</f>
        <v>257.03724335000004</v>
      </c>
      <c r="H17" s="798">
        <f t="shared" si="4"/>
        <v>98.514997104902804</v>
      </c>
      <c r="I17" s="798">
        <f t="shared" si="5"/>
        <v>19.119965447168795</v>
      </c>
      <c r="J17" s="798">
        <f t="shared" si="0"/>
        <v>8.239202454739411E-2</v>
      </c>
      <c r="K17" s="57"/>
      <c r="M17" s="58"/>
      <c r="N17" s="59"/>
      <c r="O17" s="59"/>
    </row>
    <row r="18" spans="3:15" ht="15" customHeight="1">
      <c r="C18" s="799" t="str">
        <f>IF(Indice_index!$Z$1=1,"União Europeia","European Union")</f>
        <v>União Europeia</v>
      </c>
      <c r="D18" s="800">
        <f>+'8 - R_Est'!D42</f>
        <v>456.44551322000001</v>
      </c>
      <c r="E18" s="800">
        <f>+'8 - R_Est'!E42</f>
        <v>485.50868800000001</v>
      </c>
      <c r="F18" s="800">
        <f>+'8 - R_Est'!F42</f>
        <v>456.44551322000001</v>
      </c>
      <c r="G18" s="800">
        <f>+'8 - R_Est'!G42</f>
        <v>207.56866292000001</v>
      </c>
      <c r="H18" s="798">
        <f t="shared" si="4"/>
        <v>42.752821535502576</v>
      </c>
      <c r="I18" s="798">
        <f t="shared" si="5"/>
        <v>-54.524985587939177</v>
      </c>
      <c r="J18" s="798">
        <f t="shared" si="0"/>
        <v>-0.49701680950122618</v>
      </c>
      <c r="K18" s="57"/>
      <c r="M18" s="58"/>
      <c r="N18" s="59"/>
      <c r="O18" s="59"/>
    </row>
    <row r="19" spans="3:15" ht="15" customHeight="1">
      <c r="C19" s="802" t="str">
        <f>IF(Indice_index!$Z$1=1,"Outras transferências","Other transfers")</f>
        <v>Outras transferências</v>
      </c>
      <c r="D19" s="800">
        <f>+'8 - R_Est'!D43</f>
        <v>13.726992130000001</v>
      </c>
      <c r="E19" s="800">
        <f>+'8 - R_Est'!E43</f>
        <v>32.957155999999998</v>
      </c>
      <c r="F19" s="800">
        <f>+'8 - R_Est'!F43</f>
        <v>13.726992130000001</v>
      </c>
      <c r="G19" s="800">
        <f>+'8 - R_Est'!G43</f>
        <v>20.46262157</v>
      </c>
      <c r="H19" s="798">
        <f t="shared" si="4"/>
        <v>62.088553909202602</v>
      </c>
      <c r="I19" s="798">
        <f t="shared" si="5"/>
        <v>49.068502234218137</v>
      </c>
      <c r="J19" s="798">
        <f t="shared" si="0"/>
        <v>1.3451315581244037E-2</v>
      </c>
      <c r="K19" s="57"/>
      <c r="M19" s="58"/>
      <c r="N19" s="59"/>
      <c r="O19" s="59"/>
    </row>
    <row r="20" spans="3:15" ht="15" customHeight="1">
      <c r="C20" s="796" t="str">
        <f>IF(Indice_index!$Z$1=1,"Outras Receitas Correntes","Other current revenue")</f>
        <v>Outras Receitas Correntes</v>
      </c>
      <c r="D20" s="800">
        <f>'8 - R_Est'!D35+'8 - R_Est'!D44+'8 - R_Est'!D45+'8 - R_Est'!D49+'8 - R_Est'!D50</f>
        <v>2260.0917186399997</v>
      </c>
      <c r="E20" s="800">
        <f>'8 - R_Est'!E35+'8 - R_Est'!E44+'8 - R_Est'!E45+'8 - R_Est'!E49+'8 - R_Est'!E50</f>
        <v>2175.6270149999996</v>
      </c>
      <c r="F20" s="800">
        <f>'8 - R_Est'!F35+'8 - R_Est'!F44+'8 - R_Est'!F45+'8 - R_Est'!F49+'8 - R_Est'!F50</f>
        <v>2260.0917186399997</v>
      </c>
      <c r="G20" s="800">
        <f>'8 - R_Est'!G35+'8 - R_Est'!G44+'8 - R_Est'!G45+'8 - R_Est'!G49+'8 - R_Est'!G50</f>
        <v>2433.3697560300002</v>
      </c>
      <c r="H20" s="801">
        <f t="shared" si="4"/>
        <v>111.84682573129388</v>
      </c>
      <c r="I20" s="801">
        <f t="shared" si="5"/>
        <v>7.6668586482972367</v>
      </c>
      <c r="J20" s="801">
        <f t="shared" si="0"/>
        <v>0.34604302166472811</v>
      </c>
      <c r="K20" s="57"/>
      <c r="M20" s="58"/>
      <c r="N20" s="59"/>
      <c r="O20" s="59"/>
    </row>
    <row r="21" spans="3:15" ht="15" customHeight="1">
      <c r="C21" s="803" t="str">
        <f>IF(Indice_index!$Z$1=1,"Diferenças de consolidação","Consolidation differences")</f>
        <v>Diferenças de consolidação</v>
      </c>
      <c r="D21" s="800">
        <f>+'8 - R_Est'!D51</f>
        <v>4.4417399999999996E-3</v>
      </c>
      <c r="E21" s="800">
        <f>+'8 - R_Est'!E51</f>
        <v>1.898703</v>
      </c>
      <c r="F21" s="800">
        <f>+'8 - R_Est'!F51</f>
        <v>4.4417399999999996E-3</v>
      </c>
      <c r="G21" s="800">
        <f>+'8 - R_Est'!G51</f>
        <v>4.7603699999999999E-3</v>
      </c>
      <c r="H21" s="801"/>
      <c r="I21" s="801"/>
      <c r="J21" s="801"/>
      <c r="K21" s="57"/>
      <c r="M21" s="58"/>
      <c r="N21" s="59"/>
      <c r="O21" s="59"/>
    </row>
    <row r="22" spans="3:15" s="271" customFormat="1" ht="15" customHeight="1">
      <c r="C22" s="760" t="str">
        <f>IF(Indice_index!$Z$1=1,"Receita de capital","Capital revenue")</f>
        <v>Receita de capital</v>
      </c>
      <c r="D22" s="794">
        <f t="shared" ref="D22:E22" si="6">D23+D24+D29+D30</f>
        <v>84.767693959999988</v>
      </c>
      <c r="E22" s="794">
        <f t="shared" si="6"/>
        <v>530.07363999999995</v>
      </c>
      <c r="F22" s="794">
        <f t="shared" ref="F22" si="7">F23+F24+F29+F30</f>
        <v>84.767693959999988</v>
      </c>
      <c r="G22" s="794">
        <f t="shared" ref="G22" si="8">G23+G24+G29+G30</f>
        <v>368.87706186000003</v>
      </c>
      <c r="H22" s="795">
        <f t="shared" si="4"/>
        <v>69.589776594059657</v>
      </c>
      <c r="I22" s="795">
        <f t="shared" ref="I22:I29" si="9">IF(IFERROR((G22-F22)/F22*100,"")&gt;500,"-",IFERROR((G22-F22)/F22*100,""))</f>
        <v>335.16231789207927</v>
      </c>
      <c r="J22" s="795">
        <f t="shared" ref="J22:J29" si="10">IFERROR((G22-F22)/$F$32*100,"-")</f>
        <v>0.56737752592438728</v>
      </c>
      <c r="K22" s="273"/>
      <c r="M22" s="274"/>
      <c r="N22" s="275"/>
      <c r="O22" s="275"/>
    </row>
    <row r="23" spans="3:15" ht="15" customHeight="1">
      <c r="C23" s="796" t="str">
        <f>IF(Indice_index!$Z$1=1,"Venda de bens de investimento","Sale of investment goods")</f>
        <v>Venda de bens de investimento</v>
      </c>
      <c r="D23" s="89">
        <f>+'8 - R_Est'!D53</f>
        <v>36.8988175</v>
      </c>
      <c r="E23" s="89">
        <f>+'8 - R_Est'!E53</f>
        <v>53.822319</v>
      </c>
      <c r="F23" s="89">
        <f>+'8 - R_Est'!F53</f>
        <v>36.8988175</v>
      </c>
      <c r="G23" s="89">
        <f>+'8 - R_Est'!G53</f>
        <v>35.344150110000001</v>
      </c>
      <c r="H23" s="804">
        <f t="shared" si="4"/>
        <v>65.668203761342951</v>
      </c>
      <c r="I23" s="804">
        <f t="shared" si="9"/>
        <v>-4.2133257793423837</v>
      </c>
      <c r="J23" s="805">
        <f t="shared" si="10"/>
        <v>-3.1047316175931124E-3</v>
      </c>
      <c r="K23" s="57"/>
      <c r="M23" s="58"/>
      <c r="N23" s="59"/>
      <c r="O23" s="59"/>
    </row>
    <row r="24" spans="3:15" ht="15" customHeight="1">
      <c r="C24" s="796" t="str">
        <f>IF(Indice_index!$Z$1=1,"Transferências de capital","Capital transfers")</f>
        <v>Transferências de capital</v>
      </c>
      <c r="D24" s="800">
        <f t="shared" ref="D24:E24" si="11">SUM(D25:D28)</f>
        <v>45.685864639999998</v>
      </c>
      <c r="E24" s="800">
        <f t="shared" si="11"/>
        <v>469.99793599999998</v>
      </c>
      <c r="F24" s="800">
        <f t="shared" ref="F24" si="12">SUM(F25:F28)</f>
        <v>45.685864639999998</v>
      </c>
      <c r="G24" s="800">
        <f t="shared" ref="G24" si="13">SUM(G25:G28)</f>
        <v>264.19064558000002</v>
      </c>
      <c r="H24" s="801">
        <f t="shared" si="4"/>
        <v>56.211022505426499</v>
      </c>
      <c r="I24" s="801">
        <f t="shared" si="9"/>
        <v>478.27655810346511</v>
      </c>
      <c r="J24" s="801">
        <f t="shared" si="10"/>
        <v>0.43636259842028036</v>
      </c>
      <c r="K24" s="57"/>
      <c r="M24" s="58"/>
      <c r="N24" s="59"/>
      <c r="O24" s="59"/>
    </row>
    <row r="25" spans="3:15" ht="15" customHeight="1">
      <c r="C25" s="799" t="str">
        <f>IF(Indice_index!$Z$1=1,"Administração Central","Central Administration")</f>
        <v>Administração Central</v>
      </c>
      <c r="D25" s="800">
        <f>+'8 - R_Est'!D55</f>
        <v>17.407786689999998</v>
      </c>
      <c r="E25" s="800">
        <f>+'8 - R_Est'!E55</f>
        <v>33.988917999999998</v>
      </c>
      <c r="F25" s="800">
        <f>+'8 - R_Est'!F55</f>
        <v>17.407786689999998</v>
      </c>
      <c r="G25" s="800">
        <f>+'8 - R_Est'!G55</f>
        <v>14.291490170000001</v>
      </c>
      <c r="H25" s="801">
        <f t="shared" si="4"/>
        <v>42.047499629143836</v>
      </c>
      <c r="I25" s="801">
        <f t="shared" si="9"/>
        <v>-17.901738891309893</v>
      </c>
      <c r="J25" s="801">
        <f t="shared" si="10"/>
        <v>-6.2233661024043117E-3</v>
      </c>
      <c r="K25" s="57"/>
      <c r="M25" s="58"/>
      <c r="N25" s="59"/>
      <c r="O25" s="59"/>
    </row>
    <row r="26" spans="3:15" ht="15" customHeight="1">
      <c r="C26" s="799" t="str">
        <f>IF(Indice_index!$Z$1=1,"Outros subsectores das AP","Other General Government subsectors")</f>
        <v>Outros subsectores das AP</v>
      </c>
      <c r="D26" s="800">
        <f>+'8 - R_Est'!D56</f>
        <v>3.0124069999999999E-2</v>
      </c>
      <c r="E26" s="800">
        <f>+'8 - R_Est'!E56</f>
        <v>0</v>
      </c>
      <c r="F26" s="800">
        <f>+'8 - R_Est'!F56</f>
        <v>3.0124069999999999E-2</v>
      </c>
      <c r="G26" s="800">
        <f>+'8 - R_Est'!G56</f>
        <v>3.7399849999999998E-2</v>
      </c>
      <c r="H26" s="801" t="str">
        <f t="shared" si="4"/>
        <v>-</v>
      </c>
      <c r="I26" s="801">
        <f t="shared" si="9"/>
        <v>24.152712432284215</v>
      </c>
      <c r="J26" s="801">
        <f t="shared" si="10"/>
        <v>1.453001738761088E-5</v>
      </c>
      <c r="K26" s="57"/>
      <c r="M26" s="58"/>
      <c r="N26" s="59"/>
      <c r="O26" s="59"/>
    </row>
    <row r="27" spans="3:15" ht="15" customHeight="1">
      <c r="C27" s="799" t="str">
        <f>IF(Indice_index!$Z$1=1,"União Europeia","European Union")</f>
        <v>União Europeia</v>
      </c>
      <c r="D27" s="800">
        <f>+'8 - R_Est'!D57</f>
        <v>18.856822619999999</v>
      </c>
      <c r="E27" s="800">
        <f>+'8 - R_Est'!E57</f>
        <v>435.52218199999999</v>
      </c>
      <c r="F27" s="800">
        <f>+'8 - R_Est'!F57</f>
        <v>18.856822619999999</v>
      </c>
      <c r="G27" s="800">
        <f>+'8 - R_Est'!G57</f>
        <v>247.35334850999999</v>
      </c>
      <c r="H27" s="801">
        <f t="shared" si="4"/>
        <v>56.794661381908675</v>
      </c>
      <c r="I27" s="801" t="str">
        <f t="shared" si="9"/>
        <v>-</v>
      </c>
      <c r="J27" s="801">
        <f t="shared" si="10"/>
        <v>0.45631650409858188</v>
      </c>
      <c r="K27" s="57"/>
      <c r="M27" s="58"/>
      <c r="N27" s="59"/>
      <c r="O27" s="59"/>
    </row>
    <row r="28" spans="3:15" ht="15" customHeight="1">
      <c r="C28" s="799" t="str">
        <f>IF(Indice_index!$Z$1=1,"Outras transferências","Other transfers")</f>
        <v>Outras transferências</v>
      </c>
      <c r="D28" s="800">
        <f>+'8 - R_Est'!D58</f>
        <v>9.3911312599999999</v>
      </c>
      <c r="E28" s="800">
        <f>+'8 - R_Est'!E58</f>
        <v>0.48683600000000005</v>
      </c>
      <c r="F28" s="800">
        <f>+'8 - R_Est'!F58</f>
        <v>9.3911312599999999</v>
      </c>
      <c r="G28" s="800">
        <f>+'8 - R_Est'!G58</f>
        <v>2.5084070499999997</v>
      </c>
      <c r="H28" s="801" t="str">
        <f t="shared" si="4"/>
        <v>-</v>
      </c>
      <c r="I28" s="801">
        <f t="shared" si="9"/>
        <v>-73.289617826084992</v>
      </c>
      <c r="J28" s="801">
        <f t="shared" si="10"/>
        <v>-1.3745069593284897E-2</v>
      </c>
      <c r="K28" s="57"/>
      <c r="M28" s="58"/>
      <c r="N28" s="59"/>
      <c r="O28" s="59"/>
    </row>
    <row r="29" spans="3:15" ht="15" customHeight="1">
      <c r="C29" s="796" t="str">
        <f>IF(Indice_index!$Z$1=1,"Outras Receitas de Capital","Other capital revenue")</f>
        <v>Outras Receitas de Capital</v>
      </c>
      <c r="D29" s="800">
        <f>+'8 - R_Est'!D59</f>
        <v>1.50296685</v>
      </c>
      <c r="E29" s="800">
        <f>+'8 - R_Est'!E59</f>
        <v>6.2533849999999997</v>
      </c>
      <c r="F29" s="800">
        <f>+'8 - R_Est'!F59</f>
        <v>1.50296685</v>
      </c>
      <c r="G29" s="800">
        <f>+'8 - R_Est'!G59</f>
        <v>69.342266170000002</v>
      </c>
      <c r="H29" s="805" t="str">
        <f t="shared" si="4"/>
        <v>-</v>
      </c>
      <c r="I29" s="805" t="str">
        <f t="shared" si="9"/>
        <v>-</v>
      </c>
      <c r="J29" s="805">
        <f t="shared" si="10"/>
        <v>0.1354777355394115</v>
      </c>
      <c r="K29" s="57"/>
      <c r="M29" s="58"/>
      <c r="N29" s="59"/>
      <c r="O29" s="59"/>
    </row>
    <row r="30" spans="3:15" ht="15" customHeight="1">
      <c r="C30" s="803" t="str">
        <f>IF(Indice_index!$Z$1=1,"Diferenças de consolidação","Consolidation differences")</f>
        <v>Diferenças de consolidação</v>
      </c>
      <c r="D30" s="800">
        <f>+'8 - R_Est'!D60</f>
        <v>0.68004496999999997</v>
      </c>
      <c r="E30" s="800">
        <f>+'8 - R_Est'!E60</f>
        <v>0</v>
      </c>
      <c r="F30" s="800">
        <f>+'8 - R_Est'!F60</f>
        <v>0.68004496999999731</v>
      </c>
      <c r="G30" s="800">
        <f>+'8 - R_Est'!G60</f>
        <v>0</v>
      </c>
      <c r="H30" s="801"/>
      <c r="I30" s="801"/>
      <c r="J30" s="800"/>
      <c r="K30" s="57"/>
      <c r="M30" s="58"/>
      <c r="N30" s="59"/>
      <c r="O30" s="59"/>
    </row>
    <row r="31" spans="3:15" ht="4.5" customHeight="1">
      <c r="C31" s="799"/>
      <c r="D31" s="801"/>
      <c r="E31" s="801"/>
      <c r="F31" s="801"/>
      <c r="G31" s="801"/>
      <c r="H31" s="801"/>
      <c r="I31" s="801"/>
      <c r="J31" s="801"/>
      <c r="K31" s="57"/>
      <c r="M31" s="58"/>
      <c r="N31" s="59"/>
      <c r="O31" s="59"/>
    </row>
    <row r="32" spans="3:15" s="271" customFormat="1" ht="15" customHeight="1">
      <c r="C32" s="806" t="str">
        <f>IF(Indice_index!$Z$1=1,"Receita efetiva","Effective revenue")</f>
        <v>Receita efetiva</v>
      </c>
      <c r="D32" s="807">
        <f>+D9+D22</f>
        <v>50074.131406090004</v>
      </c>
      <c r="E32" s="807">
        <f>+E9+E22</f>
        <v>53717.583897999997</v>
      </c>
      <c r="F32" s="807">
        <f>+F9+F22</f>
        <v>50074.131406090004</v>
      </c>
      <c r="G32" s="807">
        <f>+G9+G22</f>
        <v>56879.288298299994</v>
      </c>
      <c r="H32" s="807">
        <f>IFERROR(IF(G32/E32*100&lt;-500,"-",IF(G32/E32*100&gt;500,"-",G32/E32*100)),"-")</f>
        <v>105.88579040766895</v>
      </c>
      <c r="I32" s="807">
        <f>IFERROR((G32-F32)/F32*100,"-")</f>
        <v>13.590164624168297</v>
      </c>
      <c r="J32" s="807"/>
      <c r="K32" s="273"/>
      <c r="M32" s="274"/>
      <c r="N32" s="275"/>
      <c r="O32" s="275"/>
    </row>
    <row r="33" spans="3:12" ht="4.5" customHeight="1">
      <c r="C33" s="799"/>
      <c r="D33" s="800"/>
      <c r="E33" s="800"/>
      <c r="F33" s="800"/>
      <c r="G33" s="800"/>
      <c r="H33" s="801"/>
      <c r="I33" s="801"/>
      <c r="J33" s="801"/>
      <c r="K33" s="57"/>
    </row>
    <row r="34" spans="3:12" s="271" customFormat="1" ht="15" customHeight="1">
      <c r="C34" s="760" t="str">
        <f>IF(Indice_index!$Z$1=1,"Despesa corrente","Current Expenditure")</f>
        <v>Despesa corrente</v>
      </c>
      <c r="D34" s="795">
        <f>+D35+D39+D40+D41+D46+D47+D48</f>
        <v>56311.346025609979</v>
      </c>
      <c r="E34" s="795">
        <f>+E35+E39+E40+E41+E46+E47+E48</f>
        <v>57314.736388999991</v>
      </c>
      <c r="F34" s="795">
        <f>+F35+F39+F40+F41+F46+F47+F48</f>
        <v>56311.346025609979</v>
      </c>
      <c r="G34" s="795">
        <f>+G35+G39+G40+G41+G46+G47+G48</f>
        <v>59915.887196729993</v>
      </c>
      <c r="H34" s="795">
        <f>IFERROR(IF(G34/E34*100&lt;-500,"-",IF(G34/E34*100&gt;500,"-",G34/E34*100)),"-")</f>
        <v>104.53836303123821</v>
      </c>
      <c r="I34" s="795">
        <f t="shared" ref="I34:I47" si="14">IF(IFERROR((G34-F34)/F34*100,"")&gt;500,"-",IFERROR((G34-F34)/F34*100,""))</f>
        <v>6.4010921874975173</v>
      </c>
      <c r="J34" s="795">
        <f t="shared" ref="J34:J46" si="15">IFERROR((G34-F34)/$F$59*100,"-")</f>
        <v>6.053427679381115</v>
      </c>
      <c r="K34" s="273"/>
    </row>
    <row r="35" spans="3:12" ht="15" customHeight="1">
      <c r="C35" s="796" t="str">
        <f>IF(Indice_index!$Z$1=1,"Despesas com o pessoal","Employees")</f>
        <v>Despesas com o pessoal</v>
      </c>
      <c r="D35" s="800">
        <f t="shared" ref="D35:E35" si="16">SUM(D36:D38)</f>
        <v>10187.270213329986</v>
      </c>
      <c r="E35" s="800">
        <f t="shared" si="16"/>
        <v>10016.221926</v>
      </c>
      <c r="F35" s="800">
        <f t="shared" ref="F35" si="17">SUM(F36:F38)</f>
        <v>10187.270213329986</v>
      </c>
      <c r="G35" s="800">
        <f t="shared" ref="G35" si="18">SUM(G36:G38)</f>
        <v>10194.808656429996</v>
      </c>
      <c r="H35" s="801">
        <f t="shared" ref="H35:H56" si="19">IFERROR(IF(G35/E35*100&lt;-500,"-",IF(G35/E35*100&gt;500,"-",G35/E35*100)),"-")</f>
        <v>101.78297497548874</v>
      </c>
      <c r="I35" s="801">
        <f t="shared" si="14"/>
        <v>7.3998656579711677E-2</v>
      </c>
      <c r="J35" s="801">
        <f t="shared" si="15"/>
        <v>1.2659980273399575E-2</v>
      </c>
      <c r="K35" s="57"/>
      <c r="L35" s="57"/>
    </row>
    <row r="36" spans="3:12" ht="15" customHeight="1">
      <c r="C36" s="799" t="str">
        <f>IF(Indice_index!$Z$1=1,"Remunerações Certas e Permanentes","Certain and permanent wages")</f>
        <v>Remunerações Certas e Permanentes</v>
      </c>
      <c r="D36" s="800">
        <v>7352.8066867299895</v>
      </c>
      <c r="E36" s="800">
        <v>7559.328442</v>
      </c>
      <c r="F36" s="800">
        <v>7352.8066867299895</v>
      </c>
      <c r="G36" s="800">
        <v>7354.9930286999934</v>
      </c>
      <c r="H36" s="801">
        <f t="shared" si="19"/>
        <v>97.296910501140431</v>
      </c>
      <c r="I36" s="801">
        <f t="shared" si="14"/>
        <v>2.9734794659428944E-2</v>
      </c>
      <c r="J36" s="801">
        <f t="shared" si="15"/>
        <v>3.6717191924047314E-3</v>
      </c>
      <c r="K36" s="57"/>
      <c r="L36" s="57"/>
    </row>
    <row r="37" spans="3:12" ht="15" customHeight="1">
      <c r="C37" s="799" t="str">
        <f>IF(Indice_index!$Z$1=1,"Abonos Variáveis ou Eventuais","Variable or contingent bonuses")</f>
        <v>Abonos Variáveis ou Eventuais</v>
      </c>
      <c r="D37" s="800">
        <v>386.88280049999992</v>
      </c>
      <c r="E37" s="800">
        <v>373.87042400000001</v>
      </c>
      <c r="F37" s="800">
        <v>386.88280049999992</v>
      </c>
      <c r="G37" s="800">
        <v>404.99034523000006</v>
      </c>
      <c r="H37" s="801">
        <f t="shared" si="19"/>
        <v>108.32371838805844</v>
      </c>
      <c r="I37" s="801">
        <f t="shared" si="14"/>
        <v>4.6803695348044165</v>
      </c>
      <c r="J37" s="801">
        <f t="shared" si="15"/>
        <v>3.0409615890211988E-2</v>
      </c>
      <c r="K37" s="57"/>
      <c r="L37" s="57"/>
    </row>
    <row r="38" spans="3:12" ht="15" customHeight="1">
      <c r="C38" s="799" t="str">
        <f>IF(Indice_index!$Z$1=1,"Segurança social","Social security")</f>
        <v>Segurança social</v>
      </c>
      <c r="D38" s="800">
        <v>2447.5807260999964</v>
      </c>
      <c r="E38" s="800">
        <v>2083.02306</v>
      </c>
      <c r="F38" s="800">
        <v>2447.5807260999964</v>
      </c>
      <c r="G38" s="800">
        <v>2434.8252825000018</v>
      </c>
      <c r="H38" s="801">
        <f t="shared" si="19"/>
        <v>116.88902198231075</v>
      </c>
      <c r="I38" s="801">
        <f t="shared" si="14"/>
        <v>-0.52114496016314238</v>
      </c>
      <c r="J38" s="801">
        <f t="shared" si="15"/>
        <v>-2.1421354809216857E-2</v>
      </c>
      <c r="K38" s="57"/>
      <c r="L38" s="57"/>
    </row>
    <row r="39" spans="3:12" ht="15" customHeight="1">
      <c r="C39" s="796" t="str">
        <f>IF(Indice_index!$Z$1=1,"Aquisição de bens e serviços","Purchase of goods and services")</f>
        <v>Aquisição de bens e serviços</v>
      </c>
      <c r="D39" s="800">
        <v>1801.2157903399941</v>
      </c>
      <c r="E39" s="800">
        <v>1842.417768</v>
      </c>
      <c r="F39" s="800">
        <v>1801.2157903399941</v>
      </c>
      <c r="G39" s="800">
        <v>1744.839697129999</v>
      </c>
      <c r="H39" s="801">
        <f t="shared" si="19"/>
        <v>94.703803200078511</v>
      </c>
      <c r="I39" s="801">
        <f t="shared" si="14"/>
        <v>-3.1298911275563315</v>
      </c>
      <c r="J39" s="801">
        <f t="shared" si="15"/>
        <v>-9.467740466582443E-2</v>
      </c>
      <c r="K39" s="57"/>
      <c r="L39" s="57"/>
    </row>
    <row r="40" spans="3:12" ht="15" customHeight="1">
      <c r="C40" s="796" t="str">
        <f>IF(Indice_index!$Z$1=1,"Juros e outros encargos","Interests")</f>
        <v>Juros e outros encargos</v>
      </c>
      <c r="D40" s="800">
        <v>6382.38636107</v>
      </c>
      <c r="E40" s="800">
        <v>6275.3246609999997</v>
      </c>
      <c r="F40" s="800">
        <v>6382.38636107</v>
      </c>
      <c r="G40" s="800">
        <v>6117.6358296799999</v>
      </c>
      <c r="H40" s="801">
        <f t="shared" si="19"/>
        <v>97.48716058788149</v>
      </c>
      <c r="I40" s="801">
        <f t="shared" si="14"/>
        <v>-4.1481432870449888</v>
      </c>
      <c r="J40" s="801">
        <f t="shared" si="15"/>
        <v>-0.4446191952772468</v>
      </c>
      <c r="K40" s="57"/>
      <c r="L40" s="57"/>
    </row>
    <row r="41" spans="3:12" ht="15" customHeight="1">
      <c r="C41" s="796" t="str">
        <f>IF(Indice_index!$Z$1=1,"Transferências correntes","Current transfers")</f>
        <v>Transferências correntes</v>
      </c>
      <c r="D41" s="800">
        <f t="shared" ref="D41:E41" si="20">SUM(D42:D45)</f>
        <v>37389.805939689992</v>
      </c>
      <c r="E41" s="800">
        <f t="shared" si="20"/>
        <v>37830.540050999996</v>
      </c>
      <c r="F41" s="800">
        <f t="shared" ref="F41" si="21">SUM(F42:F45)</f>
        <v>37389.805939689992</v>
      </c>
      <c r="G41" s="800">
        <f t="shared" ref="G41" si="22">SUM(G42:G45)</f>
        <v>41208.066167479999</v>
      </c>
      <c r="H41" s="801">
        <f t="shared" si="19"/>
        <v>108.92804097410902</v>
      </c>
      <c r="I41" s="801">
        <f t="shared" si="14"/>
        <v>10.212035424706102</v>
      </c>
      <c r="J41" s="801">
        <f t="shared" si="15"/>
        <v>6.4123451648083574</v>
      </c>
      <c r="K41" s="57"/>
      <c r="L41" s="57"/>
    </row>
    <row r="42" spans="3:12" ht="15" customHeight="1">
      <c r="C42" s="799" t="str">
        <f>IF(Indice_index!$Z$1=1,"Administração Central","Central Administration")</f>
        <v>Administração Central</v>
      </c>
      <c r="D42" s="800">
        <v>19715.334131929994</v>
      </c>
      <c r="E42" s="800">
        <v>20381.767323000004</v>
      </c>
      <c r="F42" s="800">
        <v>19715.334131929994</v>
      </c>
      <c r="G42" s="800">
        <v>23063.043080599997</v>
      </c>
      <c r="H42" s="801">
        <f t="shared" si="19"/>
        <v>113.1552662490376</v>
      </c>
      <c r="I42" s="801">
        <f t="shared" si="14"/>
        <v>16.980229329454861</v>
      </c>
      <c r="J42" s="801">
        <f t="shared" si="15"/>
        <v>5.6221064069838347</v>
      </c>
      <c r="K42" s="57"/>
      <c r="L42" s="58"/>
    </row>
    <row r="43" spans="3:12" ht="15" customHeight="1">
      <c r="C43" s="799" t="str">
        <f>IF(Indice_index!$Z$1=1,"Outros subsectores das Administrações Públicas","Other General Government subsectors")</f>
        <v>Outros subsectores das Administrações Públicas</v>
      </c>
      <c r="D43" s="800">
        <v>14400.708377000003</v>
      </c>
      <c r="E43" s="800">
        <v>13671.139143</v>
      </c>
      <c r="F43" s="800">
        <v>14400.708377000003</v>
      </c>
      <c r="G43" s="800">
        <v>14888.946669970001</v>
      </c>
      <c r="H43" s="801">
        <f t="shared" si="19"/>
        <v>108.90787164282175</v>
      </c>
      <c r="I43" s="801">
        <f t="shared" si="14"/>
        <v>3.3903769188867443</v>
      </c>
      <c r="J43" s="801">
        <f t="shared" si="15"/>
        <v>0.81994213867725774</v>
      </c>
      <c r="K43" s="57"/>
      <c r="L43" s="60"/>
    </row>
    <row r="44" spans="3:12" ht="15" customHeight="1">
      <c r="C44" s="799" t="str">
        <f>IF(Indice_index!$Z$1=1,"União Europeia","European Union")</f>
        <v>União Europeia</v>
      </c>
      <c r="D44" s="800">
        <v>2699.4576824699993</v>
      </c>
      <c r="E44" s="800">
        <v>2664.1027219999996</v>
      </c>
      <c r="F44" s="800">
        <v>2699.4576824699993</v>
      </c>
      <c r="G44" s="800">
        <v>2561.38698604</v>
      </c>
      <c r="H44" s="801">
        <f t="shared" si="19"/>
        <v>96.144452872939951</v>
      </c>
      <c r="I44" s="801">
        <f t="shared" si="14"/>
        <v>-5.1147568389983</v>
      </c>
      <c r="J44" s="801">
        <f t="shared" si="15"/>
        <v>-0.23187444276606292</v>
      </c>
      <c r="K44" s="57"/>
    </row>
    <row r="45" spans="3:12" ht="15" customHeight="1">
      <c r="C45" s="799" t="str">
        <f>IF(Indice_index!$Z$1=1,"Outras transferências","Other transfers")</f>
        <v>Outras transferências</v>
      </c>
      <c r="D45" s="800">
        <v>574.30574829000034</v>
      </c>
      <c r="E45" s="800">
        <v>1113.5308630000004</v>
      </c>
      <c r="F45" s="800">
        <v>574.30574829000034</v>
      </c>
      <c r="G45" s="800">
        <v>694.6894308699998</v>
      </c>
      <c r="H45" s="801">
        <f t="shared" si="19"/>
        <v>62.386185596905143</v>
      </c>
      <c r="I45" s="801">
        <f t="shared" si="14"/>
        <v>20.961601540371618</v>
      </c>
      <c r="J45" s="801">
        <f t="shared" si="15"/>
        <v>0.20217106191331544</v>
      </c>
      <c r="K45" s="57"/>
    </row>
    <row r="46" spans="3:12" ht="15" customHeight="1">
      <c r="C46" s="796" t="str">
        <f>IF(Indice_index!$Z$1=1,"Subsídios","Subsidies")</f>
        <v>Subsídios</v>
      </c>
      <c r="D46" s="800">
        <v>145.60353275000003</v>
      </c>
      <c r="E46" s="800">
        <v>102.26454699999999</v>
      </c>
      <c r="F46" s="800">
        <v>145.60353275000003</v>
      </c>
      <c r="G46" s="800">
        <v>203.92768913999996</v>
      </c>
      <c r="H46" s="801">
        <f t="shared" si="19"/>
        <v>199.41191265434341</v>
      </c>
      <c r="I46" s="801">
        <f t="shared" si="14"/>
        <v>40.056827803856919</v>
      </c>
      <c r="J46" s="801">
        <f t="shared" si="15"/>
        <v>9.7948961020765446E-2</v>
      </c>
      <c r="K46" s="57"/>
      <c r="L46" s="57"/>
    </row>
    <row r="47" spans="3:12" ht="15" customHeight="1">
      <c r="C47" s="796" t="str">
        <f>IF(Indice_index!$Z$1=1,"Outras despesas correntes","Other current expenditure")</f>
        <v>Outras despesas correntes</v>
      </c>
      <c r="D47" s="800">
        <v>403.26112954999985</v>
      </c>
      <c r="E47" s="800">
        <v>1247.9674359999999</v>
      </c>
      <c r="F47" s="800">
        <v>403.26112954999985</v>
      </c>
      <c r="G47" s="800">
        <v>439.42522985000005</v>
      </c>
      <c r="H47" s="801">
        <f t="shared" si="19"/>
        <v>35.211273721889015</v>
      </c>
      <c r="I47" s="801">
        <f t="shared" si="14"/>
        <v>8.9679112738576645</v>
      </c>
      <c r="J47" s="801">
        <f>IFERROR((G47-F47)/$F$59*100,"-")</f>
        <v>6.0733601133459547E-2</v>
      </c>
      <c r="K47" s="57"/>
      <c r="L47" s="57"/>
    </row>
    <row r="48" spans="3:12" ht="15" customHeight="1">
      <c r="C48" s="803" t="str">
        <f>IF(Indice_index!$Z$1=1,"Diferenças de consolidação","Consolidation differences")</f>
        <v>Diferenças de consolidação</v>
      </c>
      <c r="D48" s="800">
        <v>1.8030588800002478</v>
      </c>
      <c r="E48" s="800">
        <v>0</v>
      </c>
      <c r="F48" s="800">
        <v>1.8030588800002478</v>
      </c>
      <c r="G48" s="800">
        <v>7.1839270200001</v>
      </c>
      <c r="H48" s="801"/>
      <c r="I48" s="801"/>
      <c r="J48" s="801"/>
      <c r="K48" s="57"/>
      <c r="L48" s="57"/>
    </row>
    <row r="49" spans="3:12" s="271" customFormat="1" ht="15" customHeight="1">
      <c r="C49" s="760" t="str">
        <f>IF(Indice_index!$Z$1=1,"Despesa de capital","Capital expenditure")</f>
        <v>Despesa de capital</v>
      </c>
      <c r="D49" s="795">
        <f>+D50+D51+D56+D57</f>
        <v>3234.1108962199992</v>
      </c>
      <c r="E49" s="795">
        <f>+E50+E51+E56+E57</f>
        <v>3262.7407289999996</v>
      </c>
      <c r="F49" s="795">
        <f>+F50+F51+F56+F57</f>
        <v>3234.1108962199992</v>
      </c>
      <c r="G49" s="795">
        <f>+G50+G51+G56+G57</f>
        <v>2997.3929908</v>
      </c>
      <c r="H49" s="795">
        <f t="shared" si="19"/>
        <v>91.867336076031819</v>
      </c>
      <c r="I49" s="795">
        <f t="shared" ref="I49:I56" si="23">IF(IFERROR((G49-F49)/F49*100,"")&gt;500,"-",IFERROR((G49-F49)/F49*100,""))</f>
        <v>-7.3194121357023665</v>
      </c>
      <c r="J49" s="795">
        <f t="shared" ref="J49:J56" si="24">IFERROR((G49-F49)/$F$59*100,"-")</f>
        <v>-0.39754150468734745</v>
      </c>
      <c r="K49" s="273"/>
    </row>
    <row r="50" spans="3:12" ht="15" customHeight="1">
      <c r="C50" s="796" t="str">
        <f>IF(Indice_index!$Z$1=1,"Investimento","Investment")</f>
        <v>Investimento</v>
      </c>
      <c r="D50" s="800">
        <v>680.48988800999905</v>
      </c>
      <c r="E50" s="800">
        <v>1260.250904</v>
      </c>
      <c r="F50" s="800">
        <v>680.48988800999905</v>
      </c>
      <c r="G50" s="800">
        <v>861.75031450999995</v>
      </c>
      <c r="H50" s="812">
        <f t="shared" si="19"/>
        <v>68.3792657299296</v>
      </c>
      <c r="I50" s="812">
        <f t="shared" si="23"/>
        <v>26.636755327852494</v>
      </c>
      <c r="J50" s="801">
        <f t="shared" si="24"/>
        <v>0.30440681098132438</v>
      </c>
      <c r="K50" s="57"/>
      <c r="L50" s="57"/>
    </row>
    <row r="51" spans="3:12" ht="15" customHeight="1">
      <c r="C51" s="796" t="str">
        <f>IF(Indice_index!$Z$1=1,"Transferências de capital","Capital transfers")</f>
        <v>Transferências de capital</v>
      </c>
      <c r="D51" s="800">
        <f t="shared" ref="D51:E51" si="25">SUM(D52:D55)</f>
        <v>2519.64963008</v>
      </c>
      <c r="E51" s="800">
        <f t="shared" si="25"/>
        <v>1981.6639210000001</v>
      </c>
      <c r="F51" s="800">
        <f t="shared" ref="F51" si="26">SUM(F52:F55)</f>
        <v>2519.64963008</v>
      </c>
      <c r="G51" s="800">
        <f t="shared" ref="G51" si="27">SUM(G52:G55)</f>
        <v>2103.9263939699999</v>
      </c>
      <c r="H51" s="801">
        <f t="shared" si="19"/>
        <v>106.16968758800954</v>
      </c>
      <c r="I51" s="801">
        <f t="shared" si="23"/>
        <v>-16.499247798067884</v>
      </c>
      <c r="J51" s="801">
        <f t="shared" si="24"/>
        <v>-0.69816113201675944</v>
      </c>
      <c r="K51" s="57"/>
      <c r="L51" s="57"/>
    </row>
    <row r="52" spans="3:12" ht="15" customHeight="1">
      <c r="C52" s="799" t="str">
        <f>IF(Indice_index!$Z$1=1,"Administração Central","Central Administration")</f>
        <v>Administração Central</v>
      </c>
      <c r="D52" s="800">
        <v>1891.6418273099998</v>
      </c>
      <c r="E52" s="800">
        <v>1459.703072</v>
      </c>
      <c r="F52" s="800">
        <v>1891.6418273099998</v>
      </c>
      <c r="G52" s="800">
        <v>1599.1650373</v>
      </c>
      <c r="H52" s="801">
        <f t="shared" si="19"/>
        <v>109.55413247907448</v>
      </c>
      <c r="I52" s="801">
        <f t="shared" si="23"/>
        <v>-15.461531130653578</v>
      </c>
      <c r="J52" s="801">
        <f t="shared" si="24"/>
        <v>-0.49118237583424235</v>
      </c>
      <c r="K52" s="57"/>
    </row>
    <row r="53" spans="3:12" ht="15" customHeight="1">
      <c r="C53" s="799" t="str">
        <f>IF(Indice_index!$Z$1=1,"Outros subsectores das Administrações Públicas","Other General Government subsectors")</f>
        <v>Outros subsectores das Administrações Públicas</v>
      </c>
      <c r="D53" s="800">
        <v>564.64759928000012</v>
      </c>
      <c r="E53" s="800">
        <v>468.58874500000002</v>
      </c>
      <c r="F53" s="800">
        <v>564.64759928000012</v>
      </c>
      <c r="G53" s="800">
        <v>446.80597315</v>
      </c>
      <c r="H53" s="801">
        <f t="shared" si="19"/>
        <v>95.351409507285538</v>
      </c>
      <c r="I53" s="801">
        <f t="shared" si="23"/>
        <v>-20.869941939054321</v>
      </c>
      <c r="J53" s="801">
        <f t="shared" si="24"/>
        <v>-0.1979019596485759</v>
      </c>
      <c r="K53" s="57"/>
    </row>
    <row r="54" spans="3:12" ht="15" customHeight="1">
      <c r="C54" s="799" t="str">
        <f>IF(Indice_index!$Z$1=1,"União Europeia","European Union")</f>
        <v>União Europeia</v>
      </c>
      <c r="D54" s="800">
        <v>2.1391460000000002</v>
      </c>
      <c r="E54" s="800">
        <v>2.1066099999999999</v>
      </c>
      <c r="F54" s="800">
        <v>2.1391460000000002</v>
      </c>
      <c r="G54" s="800">
        <v>2.1066099999999999</v>
      </c>
      <c r="H54" s="801">
        <f t="shared" si="19"/>
        <v>100</v>
      </c>
      <c r="I54" s="801">
        <f t="shared" si="23"/>
        <v>-1.5209808026193787</v>
      </c>
      <c r="J54" s="801">
        <f t="shared" si="24"/>
        <v>-5.4640608506393554E-5</v>
      </c>
      <c r="K54" s="57"/>
    </row>
    <row r="55" spans="3:12" ht="15" customHeight="1">
      <c r="C55" s="799" t="str">
        <f>IF(Indice_index!$Z$1=1,"Outras transferências","Other transfers")</f>
        <v>Outras transferências</v>
      </c>
      <c r="D55" s="800">
        <v>61.221057490000007</v>
      </c>
      <c r="E55" s="800">
        <v>51.265494000000004</v>
      </c>
      <c r="F55" s="800">
        <v>61.221057490000007</v>
      </c>
      <c r="G55" s="800">
        <v>55.848773520000009</v>
      </c>
      <c r="H55" s="801">
        <f t="shared" si="19"/>
        <v>108.94028158589479</v>
      </c>
      <c r="I55" s="801">
        <f t="shared" si="23"/>
        <v>-8.7752224320488423</v>
      </c>
      <c r="J55" s="801">
        <f t="shared" si="24"/>
        <v>-9.0221559254346131E-3</v>
      </c>
      <c r="K55" s="57"/>
    </row>
    <row r="56" spans="3:12" ht="15" customHeight="1">
      <c r="C56" s="796" t="str">
        <f>IF(Indice_index!$Z$1=1,"Outras despesas de capital","Other capital expenditure")</f>
        <v>Outras despesas de capital</v>
      </c>
      <c r="D56" s="800">
        <v>33.971378130000005</v>
      </c>
      <c r="E56" s="800">
        <v>20.825904000000001</v>
      </c>
      <c r="F56" s="800">
        <v>33.971378130000005</v>
      </c>
      <c r="G56" s="800">
        <v>15.158299400000002</v>
      </c>
      <c r="H56" s="812">
        <f t="shared" si="19"/>
        <v>72.785793116111549</v>
      </c>
      <c r="I56" s="812">
        <f t="shared" si="23"/>
        <v>-55.379203805059163</v>
      </c>
      <c r="J56" s="801">
        <f t="shared" si="24"/>
        <v>-3.1594482102467389E-2</v>
      </c>
      <c r="K56" s="57"/>
    </row>
    <row r="57" spans="3:12" ht="15" customHeight="1">
      <c r="C57" s="803" t="str">
        <f>IF(Indice_index!$Z$1=1,"Diferenças de consolidação","Consolidation differences")</f>
        <v>Diferenças de consolidação</v>
      </c>
      <c r="D57" s="800">
        <v>0</v>
      </c>
      <c r="E57" s="800">
        <v>0</v>
      </c>
      <c r="F57" s="800">
        <v>0</v>
      </c>
      <c r="G57" s="800">
        <v>16.557982919999997</v>
      </c>
      <c r="H57" s="801"/>
      <c r="I57" s="801"/>
      <c r="J57" s="801"/>
      <c r="K57" s="57"/>
      <c r="L57" s="57"/>
    </row>
    <row r="58" spans="3:12" ht="4.5" customHeight="1">
      <c r="C58" s="796"/>
      <c r="D58" s="975"/>
      <c r="E58" s="975"/>
      <c r="F58" s="975"/>
      <c r="G58" s="975"/>
      <c r="H58" s="976"/>
      <c r="I58" s="976"/>
      <c r="J58" s="976"/>
      <c r="K58" s="57"/>
    </row>
    <row r="59" spans="3:12" s="271" customFormat="1" ht="15" customHeight="1">
      <c r="C59" s="806" t="str">
        <f>IF(Indice_index!$Z$1=1,"Despesa efetiva","Effective Expenditure")</f>
        <v>Despesa efetiva</v>
      </c>
      <c r="D59" s="977">
        <f>+D34+D49</f>
        <v>59545.45692182998</v>
      </c>
      <c r="E59" s="977">
        <f>+E34+E49</f>
        <v>60577.477117999988</v>
      </c>
      <c r="F59" s="977">
        <f>+F34+F49</f>
        <v>59545.45692182998</v>
      </c>
      <c r="G59" s="977">
        <f>+G34+G49</f>
        <v>62913.280187529992</v>
      </c>
      <c r="H59" s="807">
        <f>IFERROR(IF(G59/E59*100&lt;-500,"-",IF(G59/E59*100&gt;500,"-",G59/E59*100)),"-")</f>
        <v>103.8558936103926</v>
      </c>
      <c r="I59" s="807">
        <f>IFERROR((G59-F59)/F59*100,"-")</f>
        <v>5.6558861746937623</v>
      </c>
      <c r="J59" s="807"/>
      <c r="K59" s="273"/>
      <c r="L59" s="273"/>
    </row>
    <row r="60" spans="3:12" ht="4.5" customHeight="1">
      <c r="C60" s="978"/>
      <c r="D60" s="800"/>
      <c r="E60" s="800"/>
      <c r="F60" s="800"/>
      <c r="G60" s="800"/>
      <c r="H60" s="800"/>
      <c r="I60" s="800"/>
      <c r="J60" s="800"/>
      <c r="K60" s="57"/>
    </row>
    <row r="61" spans="3:12" s="271" customFormat="1" ht="15" customHeight="1">
      <c r="C61" s="806" t="str">
        <f>IF(Indice_index!$Z$1=1,"Saldo global","Overall Balance")</f>
        <v>Saldo global</v>
      </c>
      <c r="D61" s="807">
        <f>+D32-D59</f>
        <v>-9471.3255157399763</v>
      </c>
      <c r="E61" s="807">
        <f>+E32-E59</f>
        <v>-6859.8932199999908</v>
      </c>
      <c r="F61" s="807">
        <f>+F32-F59</f>
        <v>-9471.3255157399763</v>
      </c>
      <c r="G61" s="807">
        <f>+G32-G59</f>
        <v>-6033.9918892299975</v>
      </c>
      <c r="H61" s="807"/>
      <c r="I61" s="807"/>
      <c r="J61" s="807"/>
      <c r="K61" s="273"/>
    </row>
    <row r="62" spans="3:12" ht="4.5" customHeight="1">
      <c r="C62" s="979"/>
      <c r="D62" s="979"/>
      <c r="E62" s="979"/>
      <c r="F62" s="800"/>
      <c r="H62" s="800"/>
      <c r="I62" s="800"/>
      <c r="J62" s="800"/>
      <c r="K62" s="57"/>
    </row>
    <row r="63" spans="3:12" ht="15" customHeight="1">
      <c r="C63" s="796" t="str">
        <f>IF(Indice_index!$Z$1=1,"Despesa  primária","Primary Expenditure")</f>
        <v>Despesa  primária</v>
      </c>
      <c r="D63" s="800">
        <f>+D59-D40</f>
        <v>53163.070560759981</v>
      </c>
      <c r="E63" s="800">
        <f>+E59-E40</f>
        <v>54302.152456999989</v>
      </c>
      <c r="F63" s="800">
        <f>+F59-F40</f>
        <v>53163.070560759981</v>
      </c>
      <c r="G63" s="800">
        <f>+G59-G40</f>
        <v>56795.644357849989</v>
      </c>
      <c r="H63" s="801">
        <f>IFERROR(IF(G63/E63*100&lt;-500,"-",IF(G63/E63*100&gt;500,"-",G63/E63*100)),"-")</f>
        <v>104.59188409303759</v>
      </c>
      <c r="I63" s="801">
        <f t="shared" ref="I63" si="28">IF(IFERROR((G63-F63)/F63*100,"")&gt;500,"-",IFERROR((G63-F63)/F63*100,""))</f>
        <v>6.8328893699590694</v>
      </c>
      <c r="J63" s="800"/>
      <c r="K63" s="61"/>
    </row>
    <row r="64" spans="3:12" ht="15" customHeight="1">
      <c r="C64" s="980" t="str">
        <f>IF(Indice_index!$Z$1=1,"Saldo corrente","Current balance")</f>
        <v>Saldo corrente</v>
      </c>
      <c r="D64" s="800">
        <f>+D9-D34</f>
        <v>-6321.9823134799735</v>
      </c>
      <c r="E64" s="800">
        <f>+E9-E34</f>
        <v>-4127.2261309999958</v>
      </c>
      <c r="F64" s="800">
        <f>+F9-F34</f>
        <v>-6321.9823134799735</v>
      </c>
      <c r="G64" s="800">
        <f>+G9-G34</f>
        <v>-3405.4759602900012</v>
      </c>
      <c r="H64" s="801"/>
      <c r="I64" s="801"/>
      <c r="J64" s="800"/>
      <c r="K64" s="57"/>
    </row>
    <row r="65" spans="3:17" ht="15" customHeight="1">
      <c r="C65" s="981" t="str">
        <f>IF(Indice_index!$Z$1=1,"Saldo de capital","Capital balance")</f>
        <v>Saldo de capital</v>
      </c>
      <c r="D65" s="809">
        <f>+D22-D49</f>
        <v>-3149.3432022599991</v>
      </c>
      <c r="E65" s="809">
        <f>+E22-E49</f>
        <v>-2732.6670889999996</v>
      </c>
      <c r="F65" s="809">
        <f>+F22-F49</f>
        <v>-3149.3432022599991</v>
      </c>
      <c r="G65" s="809">
        <f>+G22-G49</f>
        <v>-2628.5159289399999</v>
      </c>
      <c r="H65" s="801"/>
      <c r="I65" s="801"/>
      <c r="J65" s="809"/>
      <c r="K65" s="57"/>
    </row>
    <row r="66" spans="3:17" ht="15" customHeight="1">
      <c r="C66" s="980" t="str">
        <f>IF(Indice_index!$Z$1=1,"Saldo primário","Primary balance")</f>
        <v>Saldo primário</v>
      </c>
      <c r="D66" s="800">
        <f>+D61+D40</f>
        <v>-3088.9391546699762</v>
      </c>
      <c r="E66" s="800">
        <f>+E61+E40</f>
        <v>-584.56855899999118</v>
      </c>
      <c r="F66" s="800">
        <f>+F61+F40</f>
        <v>-3088.9391546699762</v>
      </c>
      <c r="G66" s="800">
        <f>+G61+G40</f>
        <v>83.643940450002447</v>
      </c>
      <c r="H66" s="801"/>
      <c r="I66" s="801"/>
      <c r="J66" s="800"/>
      <c r="K66" s="57"/>
    </row>
    <row r="67" spans="3:17" ht="4.5" customHeight="1">
      <c r="C67" s="135"/>
      <c r="D67" s="809"/>
      <c r="E67" s="809"/>
      <c r="F67" s="809"/>
      <c r="G67" s="809"/>
      <c r="H67" s="809"/>
      <c r="I67" s="809"/>
      <c r="J67" s="809"/>
      <c r="K67" s="57"/>
    </row>
    <row r="68" spans="3:17" ht="15" customHeight="1">
      <c r="C68" s="135" t="str">
        <f>IF(Indice_index!$Z$1=1,"Ativos financeiros líquidos de reembolsos","Financial assets net of reimbursements")</f>
        <v>Ativos financeiros líquidos de reembolsos</v>
      </c>
      <c r="D68" s="800">
        <f>4944.98849095-D71-D70</f>
        <v>4301.2560277199991</v>
      </c>
      <c r="E68" s="800">
        <f>11838.23886-E71-E70</f>
        <v>8490.9918880000005</v>
      </c>
      <c r="F68" s="800">
        <f>4944.98849095-F71-F70</f>
        <v>4301.2560277199991</v>
      </c>
      <c r="G68" s="800">
        <f>4062.0757502-G71-G70</f>
        <v>3469.32071378</v>
      </c>
      <c r="H68" s="800"/>
      <c r="I68" s="800"/>
      <c r="J68" s="800"/>
      <c r="K68" s="57"/>
      <c r="M68" s="58"/>
      <c r="N68" s="58"/>
    </row>
    <row r="69" spans="3:17" ht="15" customHeight="1">
      <c r="C69" s="808" t="str">
        <f>IF(Indice_index!$Z$1=1,"dos quais Receitas de:","of which revenue from:")</f>
        <v>dos quais Receitas de:</v>
      </c>
      <c r="D69" s="800"/>
      <c r="E69" s="800"/>
      <c r="F69" s="809"/>
      <c r="G69" s="800"/>
      <c r="H69" s="800"/>
      <c r="I69" s="800"/>
      <c r="J69" s="800"/>
      <c r="K69" s="57"/>
      <c r="M69" s="58"/>
      <c r="N69" s="58"/>
    </row>
    <row r="70" spans="3:17" ht="15" customHeight="1">
      <c r="C70" s="810" t="str">
        <f>IF(Indice_index!$Z$1=1,"Alienação de partes de Capital","Disposal of Capital Shares")</f>
        <v>Alienação de partes de Capital</v>
      </c>
      <c r="D70" s="809">
        <f>+'8 - R_Est'!D65</f>
        <v>1.3794E-4</v>
      </c>
      <c r="E70" s="809">
        <f>+'8 - R_Est'!E65</f>
        <v>0</v>
      </c>
      <c r="F70" s="809">
        <f>+'8 - R_Est'!F65</f>
        <v>1.3794E-4</v>
      </c>
      <c r="G70" s="809">
        <f>+'8 - R_Est'!G65</f>
        <v>0</v>
      </c>
      <c r="H70" s="801"/>
      <c r="I70" s="801">
        <f t="shared" ref="I70:I71" si="29">IF(IFERROR((G70-F70)/F70*100,"")&gt;500,"-",IFERROR((G70-F70)/F70*100,""))</f>
        <v>-100</v>
      </c>
      <c r="J70" s="800"/>
      <c r="K70" s="57"/>
      <c r="M70" s="663"/>
      <c r="N70" s="663"/>
    </row>
    <row r="71" spans="3:17" ht="15" customHeight="1">
      <c r="C71" s="811" t="str">
        <f>IF(Indice_index!$Z$1=1,"Outros Ativos","Other Assets")</f>
        <v>Outros Ativos</v>
      </c>
      <c r="D71" s="809">
        <f>+'8 - R_Est'!D66</f>
        <v>643.73232529000006</v>
      </c>
      <c r="E71" s="809">
        <f>+'8 - R_Est'!E66</f>
        <v>3347.2469719999999</v>
      </c>
      <c r="F71" s="809">
        <f>+'8 - R_Est'!F66</f>
        <v>643.73232529000006</v>
      </c>
      <c r="G71" s="809">
        <f>+'8 - R_Est'!G66</f>
        <v>592.75503642000001</v>
      </c>
      <c r="H71" s="812"/>
      <c r="I71" s="812">
        <f t="shared" si="29"/>
        <v>-7.919019578057525</v>
      </c>
      <c r="J71" s="809"/>
      <c r="K71" s="57"/>
      <c r="M71" s="58"/>
      <c r="N71" s="58"/>
    </row>
    <row r="72" spans="3:17" ht="15" customHeight="1">
      <c r="C72" s="983" t="str">
        <f>IF(Indice_index!$Z$1=1,"Passivos financeiros líquidos de amortizações","Financial liabilities net of amortizations")</f>
        <v>Passivos financeiros líquidos de amortizações</v>
      </c>
      <c r="D72" s="982">
        <f>+'8 - R_Est'!D67-49865.83276538</f>
        <v>13779.601644429997</v>
      </c>
      <c r="E72" s="982">
        <f>+'8 - R_Est'!E67-83676</f>
        <v>15350.885108000002</v>
      </c>
      <c r="F72" s="982">
        <f>+'8 - R_Est'!F67-49865.83276538</f>
        <v>13779.601644429997</v>
      </c>
      <c r="G72" s="982">
        <f>+'8 - R_Est'!G67-58844.22799248</f>
        <v>5943.9463108199998</v>
      </c>
      <c r="H72" s="982"/>
      <c r="I72" s="982"/>
      <c r="J72" s="982"/>
      <c r="K72" s="57"/>
      <c r="M72" s="58"/>
      <c r="N72" s="58"/>
    </row>
    <row r="73" spans="3:17" ht="4.5" customHeight="1">
      <c r="K73" s="57"/>
    </row>
    <row r="74" spans="3:17" ht="15" customHeight="1">
      <c r="C74" s="951" t="str">
        <f>IF(Indice_index!$Z$1=1,"Nota:","Note:")</f>
        <v>Nota:</v>
      </c>
      <c r="K74" s="57"/>
    </row>
    <row r="75" spans="3:17" s="22" customFormat="1" ht="12.75" customHeight="1">
      <c r="C75" s="1716" t="str">
        <f>+'5 - Conta AC + SS'!$C$64</f>
        <v>Os dados da execução acumulada de 2021 correspondem aos valores publicados na Conta Geral do Estado.</v>
      </c>
      <c r="D75" s="1716"/>
      <c r="E75" s="1716"/>
      <c r="F75" s="1716"/>
      <c r="G75" s="1716"/>
      <c r="H75" s="1716"/>
      <c r="I75" s="1716"/>
      <c r="J75" s="1716"/>
      <c r="K75" s="62"/>
      <c r="P75" s="24"/>
      <c r="Q75" s="24"/>
    </row>
    <row r="76" spans="3:17" s="22" customFormat="1" ht="26.25" customHeight="1">
      <c r="C76" s="1708" t="str">
        <f>IF(Indice_index!$Z$1=1,C86,C87)</f>
        <v>Por motivos de ordem técnica, a execução orçamental da Força Aérea e Marinha, relativa a dezembro de 2022, não foi apropriada integralmente pelos sistemas orçamentais centrais, tendo a entidade enviado, posteriormente, a devida informação.</v>
      </c>
      <c r="D76" s="1708"/>
      <c r="E76" s="1708"/>
      <c r="F76" s="1708"/>
      <c r="G76" s="1708"/>
      <c r="H76" s="1708"/>
      <c r="I76" s="1708"/>
      <c r="J76" s="1708"/>
      <c r="K76" s="62"/>
      <c r="P76" s="24"/>
      <c r="Q76" s="24"/>
    </row>
    <row r="77" spans="3:17" ht="15" customHeight="1">
      <c r="C77" s="135" t="str">
        <f>IF(Indice_index!$Z$1=1,"Fonte: Direção-Geral do Orçamento","Source: Budget General Directorate")</f>
        <v>Fonte: Direção-Geral do Orçamento</v>
      </c>
      <c r="D77" s="135"/>
      <c r="E77" s="135"/>
      <c r="F77" s="660"/>
    </row>
    <row r="78" spans="3:17">
      <c r="F78" s="660"/>
      <c r="G78" s="58"/>
    </row>
    <row r="79" spans="3:17" s="378" customFormat="1" ht="11.25" customHeight="1">
      <c r="C79" s="502"/>
      <c r="D79" s="502"/>
      <c r="E79" s="502"/>
      <c r="F79" s="374"/>
      <c r="G79" s="374"/>
    </row>
    <row r="80" spans="3:17" s="101" customFormat="1">
      <c r="C80" s="105"/>
      <c r="D80" s="105"/>
      <c r="E80" s="105"/>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356"/>
      <c r="D85" s="105"/>
      <c r="E85" s="105"/>
      <c r="G85" s="374"/>
    </row>
    <row r="86" spans="2:7" s="99" customFormat="1">
      <c r="C86" s="356" t="s">
        <v>602</v>
      </c>
      <c r="D86" s="356"/>
      <c r="E86" s="356"/>
      <c r="G86" s="1596"/>
    </row>
    <row r="87" spans="2:7" s="99" customFormat="1">
      <c r="C87" s="356" t="s">
        <v>603</v>
      </c>
      <c r="D87" s="356"/>
      <c r="E87" s="356"/>
      <c r="G87" s="1596"/>
    </row>
    <row r="88" spans="2:7" s="101" customFormat="1">
      <c r="C88" s="356" t="s">
        <v>601</v>
      </c>
      <c r="D88" s="105"/>
      <c r="E88" s="105"/>
      <c r="G88" s="374"/>
    </row>
    <row r="89" spans="2:7" s="101" customFormat="1">
      <c r="C89" s="105"/>
      <c r="D89" s="105"/>
      <c r="E89" s="105"/>
      <c r="G89" s="374"/>
    </row>
    <row r="90" spans="2:7" s="105" customFormat="1">
      <c r="B90" s="101"/>
      <c r="F90" s="101"/>
      <c r="G90" s="374"/>
    </row>
    <row r="91" spans="2:7" s="105" customFormat="1">
      <c r="B91" s="101"/>
      <c r="C91" s="460"/>
      <c r="F91" s="101"/>
      <c r="G91" s="374"/>
    </row>
    <row r="92" spans="2:7" s="101" customFormat="1">
      <c r="C92" s="105"/>
      <c r="D92" s="105"/>
      <c r="E92" s="105"/>
      <c r="G92" s="374"/>
    </row>
    <row r="93" spans="2:7">
      <c r="G93" s="58"/>
    </row>
    <row r="94" spans="2:7">
      <c r="G94" s="58"/>
    </row>
    <row r="95" spans="2:7">
      <c r="G95" s="58"/>
    </row>
    <row r="96" spans="2:7">
      <c r="G96" s="58"/>
    </row>
    <row r="97" spans="7:7">
      <c r="G97" s="58"/>
    </row>
    <row r="98" spans="7:7">
      <c r="G98" s="58"/>
    </row>
    <row r="99" spans="7:7">
      <c r="G99" s="58"/>
    </row>
    <row r="100" spans="7:7">
      <c r="G100"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G49 E35:F35 E41:F41 E51:F51 D35 D41 D49 D51 G35 G41 G51" formulaRange="1"/>
    <ignoredError sqref="D7:E7" numberStoredAsText="1" unlockedFormula="1"/>
    <ignoredError sqref="F7:H7" numberStoredAsText="1"/>
    <ignoredError sqref="E68" 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Q92"/>
  <sheetViews>
    <sheetView showGridLines="0" zoomScaleNormal="100" zoomScaleSheetLayoutView="100" workbookViewId="0">
      <selection activeCell="B2" sqref="B2"/>
    </sheetView>
  </sheetViews>
  <sheetFormatPr defaultColWidth="9.140625" defaultRowHeight="11.25"/>
  <cols>
    <col min="1" max="1" width="3" style="63" customWidth="1"/>
    <col min="2" max="2" width="4.42578125" style="63" customWidth="1"/>
    <col min="3" max="3" width="43.42578125" style="63" customWidth="1"/>
    <col min="4" max="4" width="9.42578125" style="63" hidden="1" customWidth="1"/>
    <col min="5" max="10" width="9.42578125" style="63" customWidth="1"/>
    <col min="11" max="11" width="8.5703125" style="63" customWidth="1"/>
    <col min="12" max="12" width="13.85546875" style="63" customWidth="1"/>
    <col min="13" max="16384" width="9.140625" style="63"/>
  </cols>
  <sheetData>
    <row r="1" spans="2:16" s="50" customFormat="1" ht="15" customHeight="1">
      <c r="B1" s="49"/>
      <c r="C1" s="49"/>
      <c r="D1" s="49"/>
      <c r="E1" s="49"/>
    </row>
    <row r="2" spans="2:16" ht="24" customHeight="1">
      <c r="B2" s="8"/>
      <c r="C2" s="51" t="str">
        <f>IF(Indice_index!$Z$1=1,"8 - Receita do Estado","8 - State Revenue")</f>
        <v>8 - Receita do Estado</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760" t="str">
        <f>+'5 - Conta AC + SS'!C5</f>
        <v>Período: janeiro a dezembro</v>
      </c>
      <c r="D5" s="760"/>
      <c r="E5" s="760"/>
      <c r="F5" s="761"/>
      <c r="G5" s="271"/>
      <c r="H5" s="271"/>
      <c r="I5" s="271"/>
      <c r="J5" s="762" t="str">
        <f>IF(Indice_index!$Z$1=1,"€ Milhões","€ Millions")</f>
        <v>€ Milhões</v>
      </c>
      <c r="K5" s="272"/>
    </row>
    <row r="6" spans="2:16" ht="33" customHeight="1">
      <c r="C6" s="763"/>
      <c r="D6" s="686" t="str">
        <f>IF(Indice_index!$Z$1=1,"CGE","Final execution")</f>
        <v>CGE</v>
      </c>
      <c r="E6" s="686" t="str">
        <f>IF(Indice_index!$Z$1=1,"Orçamento Inicial","Budget")</f>
        <v>Orçamento Inicial</v>
      </c>
      <c r="F6" s="1722" t="str">
        <f>IF(Indice_index!$Z$1=1,"Execução Acumulada","Accumulated Execution")</f>
        <v>Execução Acumulada</v>
      </c>
      <c r="G6" s="1723" t="str">
        <f>IF(Indice_index!$Z$1=1,"Execução","Execution")</f>
        <v>Execução</v>
      </c>
      <c r="H6" s="686" t="str">
        <f>IF(Indice_index!$Z$1=1,"Grau de Execução (%)","Execution Degree (%)")</f>
        <v>Grau de Execução (%)</v>
      </c>
      <c r="I6" s="1718" t="str">
        <f>IF(Indice_index!$Z$1=1,"Variação Homóloga Acumulada","YOY Change Rate")</f>
        <v>Variação Homóloga Acumulada</v>
      </c>
      <c r="J6" s="1719"/>
      <c r="K6" s="55"/>
    </row>
    <row r="7" spans="2:16" ht="31.5" customHeight="1">
      <c r="C7" s="764"/>
      <c r="D7" s="687" t="s">
        <v>67</v>
      </c>
      <c r="E7" s="687" t="s">
        <v>73</v>
      </c>
      <c r="F7" s="765" t="s">
        <v>67</v>
      </c>
      <c r="G7" s="765" t="s">
        <v>73</v>
      </c>
      <c r="H7" s="766" t="s">
        <v>73</v>
      </c>
      <c r="I7" s="767" t="str">
        <f>IF(Indice_index!$Z$1=1,"Relativa (%)","Relative change (%)")</f>
        <v>Relativa (%)</v>
      </c>
      <c r="J7" s="768" t="str">
        <f>IF(Indice_index!$Z$1=1,"Contributo VHA  (p.p.)","YOY Change Rate Contrib. (p.p.)")</f>
        <v>Contributo VHA  (p.p.)</v>
      </c>
      <c r="K7" s="55"/>
    </row>
    <row r="8" spans="2:16" ht="4.5" customHeight="1">
      <c r="C8" s="66"/>
      <c r="D8" s="66"/>
      <c r="E8" s="66"/>
      <c r="F8" s="769"/>
      <c r="G8" s="769"/>
      <c r="H8" s="769"/>
      <c r="I8" s="769"/>
      <c r="J8" s="66"/>
      <c r="K8" s="66"/>
    </row>
    <row r="9" spans="2:16" s="277" customFormat="1" ht="15" customHeight="1">
      <c r="C9" s="770" t="str">
        <f>IF(Indice_index!$Z$1=1,"Receita fiscal","Tax revenue")</f>
        <v>Receita fiscal</v>
      </c>
      <c r="D9" s="278">
        <f>SUM(D10,D14)</f>
        <v>45591.223834090008</v>
      </c>
      <c r="E9" s="278">
        <f>SUM(E10,E14)</f>
        <v>48591.105513000002</v>
      </c>
      <c r="F9" s="278">
        <f>SUM(F10,F14)</f>
        <v>45591.223834090008</v>
      </c>
      <c r="G9" s="278">
        <f>SUM(G10,G14)</f>
        <v>52024.691187679993</v>
      </c>
      <c r="H9" s="278">
        <f>IFERROR(IF(G9/E9*100&lt;-500,"-",IF(G9/E9*100&gt;500,"-",G9/E9*100)),"-")</f>
        <v>107.0662843300846</v>
      </c>
      <c r="I9" s="278">
        <f t="shared" ref="I9:I22" si="0">IF(IFERROR((G9-F9)/F9*100,"")&gt;500,"-",IFERROR((G9-F9)/F9*100,""))</f>
        <v>14.111196876402948</v>
      </c>
      <c r="J9" s="278">
        <f t="shared" ref="J9:J22" si="1">IFERROR((G9-F9)/$F$62*100,"-")</f>
        <v>12.847886069986924</v>
      </c>
      <c r="K9" s="278"/>
      <c r="L9" s="279"/>
      <c r="M9" s="273"/>
      <c r="N9" s="273"/>
      <c r="O9" s="273"/>
      <c r="P9" s="273"/>
    </row>
    <row r="10" spans="2:16" ht="15" customHeight="1">
      <c r="C10" s="771" t="str">
        <f>IF(Indice_index!$Z$1=1,"Impostos Diretos","Direct taxes")</f>
        <v>Impostos Diretos</v>
      </c>
      <c r="D10" s="71">
        <f t="shared" ref="D10:G10" si="2">SUM(D11:D13)</f>
        <v>19956.94299525</v>
      </c>
      <c r="E10" s="71">
        <f t="shared" si="2"/>
        <v>20904.899710000002</v>
      </c>
      <c r="F10" s="71">
        <f t="shared" si="2"/>
        <v>19956.94299525</v>
      </c>
      <c r="G10" s="71">
        <f t="shared" si="2"/>
        <v>23377.274777119997</v>
      </c>
      <c r="H10" s="71">
        <f t="shared" ref="H10:H60" si="3">IFERROR(IF(G10/E10*100&lt;-500,"-",IF(G10/E10*100&gt;500,"-",G10/E10*100)),"-")</f>
        <v>111.82677315566035</v>
      </c>
      <c r="I10" s="772">
        <f t="shared" si="0"/>
        <v>17.138555652957869</v>
      </c>
      <c r="J10" s="68">
        <f t="shared" si="1"/>
        <v>6.8305364183591566</v>
      </c>
      <c r="K10" s="68"/>
      <c r="L10" s="69"/>
      <c r="M10" s="65"/>
      <c r="N10" s="65"/>
      <c r="O10" s="65"/>
      <c r="P10" s="65"/>
    </row>
    <row r="11" spans="2:16" ht="15" customHeight="1">
      <c r="C11" s="773" t="str">
        <f>IF(Indice_index!$Z$1=1,"Imposto sobre o Rendimento Pessoas Singulares (IRS)","Personal income tax (IRS)")</f>
        <v>Imposto sobre o Rendimento Pessoas Singulares (IRS)</v>
      </c>
      <c r="D11" s="71">
        <v>14534.07338527</v>
      </c>
      <c r="E11" s="71">
        <v>15202.600006000001</v>
      </c>
      <c r="F11" s="71">
        <v>14534.07338527</v>
      </c>
      <c r="G11" s="71">
        <v>15783.65312524</v>
      </c>
      <c r="H11" s="71">
        <f>IFERROR(IF(G11/E11*100&lt;-500,"-",IF(G11/E11*100&gt;500,"-",G11/E11*100)),"-")</f>
        <v>103.82206411410336</v>
      </c>
      <c r="I11" s="772">
        <f t="shared" si="0"/>
        <v>8.5975879359218403</v>
      </c>
      <c r="J11" s="68">
        <f t="shared" si="1"/>
        <v>2.4954596412989938</v>
      </c>
      <c r="K11" s="68"/>
      <c r="L11" s="69"/>
      <c r="M11" s="65"/>
      <c r="N11" s="65"/>
      <c r="O11" s="65"/>
      <c r="P11" s="65"/>
    </row>
    <row r="12" spans="2:16" ht="15" customHeight="1">
      <c r="C12" s="773" t="str">
        <f>IF(Indice_index!$Z$1=1,"Imposto sobre o Rendimento Pessoas Coletivas (IRC)","Corporate income tax (IRC)")</f>
        <v>Imposto sobre o Rendimento Pessoas Coletivas (IRC)</v>
      </c>
      <c r="D12" s="71">
        <v>4933.5586337100003</v>
      </c>
      <c r="E12" s="71">
        <v>5211.299704</v>
      </c>
      <c r="F12" s="71">
        <v>4933.5586337100003</v>
      </c>
      <c r="G12" s="71">
        <v>7098.34714085</v>
      </c>
      <c r="H12" s="71">
        <f t="shared" si="3"/>
        <v>136.21068723799502</v>
      </c>
      <c r="I12" s="772">
        <f t="shared" si="0"/>
        <v>43.878844214973775</v>
      </c>
      <c r="J12" s="68">
        <f t="shared" si="1"/>
        <v>4.3231673647697439</v>
      </c>
      <c r="K12" s="68"/>
      <c r="L12" s="65"/>
      <c r="M12" s="65"/>
      <c r="N12" s="65"/>
      <c r="O12" s="65"/>
      <c r="P12" s="65"/>
    </row>
    <row r="13" spans="2:16" ht="15" customHeight="1">
      <c r="C13" s="773" t="str">
        <f>IF(Indice_index!$Z$1=1,"Outros","Others")</f>
        <v>Outros</v>
      </c>
      <c r="D13" s="71">
        <v>489.31097627000003</v>
      </c>
      <c r="E13" s="71">
        <v>491</v>
      </c>
      <c r="F13" s="71">
        <v>489.31097627000003</v>
      </c>
      <c r="G13" s="71">
        <v>495.27451102999999</v>
      </c>
      <c r="H13" s="71">
        <f t="shared" si="3"/>
        <v>100.87057251120162</v>
      </c>
      <c r="I13" s="772">
        <f t="shared" si="0"/>
        <v>1.2187616974096454</v>
      </c>
      <c r="J13" s="68">
        <f t="shared" si="1"/>
        <v>1.1909412290424023E-2</v>
      </c>
      <c r="K13" s="68"/>
      <c r="L13" s="65"/>
      <c r="M13" s="65"/>
      <c r="N13" s="65"/>
      <c r="O13" s="65"/>
      <c r="P13" s="65"/>
    </row>
    <row r="14" spans="2:16" ht="15" customHeight="1">
      <c r="C14" s="771" t="str">
        <f>IF(Indice_index!$Z$1=1,"Impostos Indiretos","Indirect taxes")</f>
        <v>Impostos Indiretos</v>
      </c>
      <c r="D14" s="71">
        <f t="shared" ref="D14:E14" si="4">SUM(D15:D22)</f>
        <v>25634.280838840004</v>
      </c>
      <c r="E14" s="71">
        <f t="shared" si="4"/>
        <v>27686.205802999997</v>
      </c>
      <c r="F14" s="71">
        <f t="shared" ref="F14:G14" si="5">SUM(F15:F22)</f>
        <v>25634.280838840004</v>
      </c>
      <c r="G14" s="71">
        <f t="shared" si="5"/>
        <v>28647.416410559996</v>
      </c>
      <c r="H14" s="71">
        <f t="shared" si="3"/>
        <v>103.47180330305802</v>
      </c>
      <c r="I14" s="772">
        <f t="shared" si="0"/>
        <v>11.754320671850534</v>
      </c>
      <c r="J14" s="68">
        <f t="shared" si="1"/>
        <v>6.0173496516277751</v>
      </c>
      <c r="K14" s="68"/>
      <c r="L14" s="65"/>
      <c r="M14" s="65"/>
      <c r="N14" s="65"/>
      <c r="O14" s="65"/>
      <c r="P14" s="65"/>
    </row>
    <row r="15" spans="2:16" ht="15" customHeight="1">
      <c r="C15" s="773" t="str">
        <f>IF(Indice_index!$Z$1=1,"Imposto sobre os produtos petrolíferos e energéticos (ISP)","Tax on oil and energy products (ISP)")</f>
        <v>Imposto sobre os produtos petrolíferos e energéticos (ISP)</v>
      </c>
      <c r="D15" s="774">
        <v>3364.0679735099998</v>
      </c>
      <c r="E15" s="774">
        <v>3309.6347569999998</v>
      </c>
      <c r="F15" s="71">
        <v>3364.0679735099998</v>
      </c>
      <c r="G15" s="71">
        <v>2746.5576345700001</v>
      </c>
      <c r="H15" s="71">
        <f t="shared" si="3"/>
        <v>82.986729238352638</v>
      </c>
      <c r="I15" s="772">
        <f t="shared" si="0"/>
        <v>-18.356060097552131</v>
      </c>
      <c r="J15" s="68">
        <f t="shared" si="1"/>
        <v>-1.233192312278228</v>
      </c>
      <c r="K15" s="68"/>
      <c r="L15" s="65"/>
      <c r="M15" s="65"/>
      <c r="N15" s="65"/>
      <c r="O15" s="65"/>
      <c r="P15" s="65"/>
    </row>
    <row r="16" spans="2:16" ht="15" customHeight="1">
      <c r="C16" s="773" t="str">
        <f>IF(Indice_index!$Z$1=1,"Imposto sobre o Valor Acrescentado (IVA)","Value-added tax (IVA)")</f>
        <v>Imposto sobre o Valor Acrescentado (IVA)</v>
      </c>
      <c r="D16" s="774">
        <v>17728.253620750002</v>
      </c>
      <c r="E16" s="774">
        <v>19546.306274999999</v>
      </c>
      <c r="F16" s="71">
        <v>17728.253620750002</v>
      </c>
      <c r="G16" s="71">
        <v>21055.869981039999</v>
      </c>
      <c r="H16" s="71">
        <f t="shared" si="3"/>
        <v>107.72301264904844</v>
      </c>
      <c r="I16" s="772">
        <f t="shared" si="0"/>
        <v>18.770130614530441</v>
      </c>
      <c r="J16" s="68">
        <f t="shared" si="1"/>
        <v>6.6453800931738058</v>
      </c>
      <c r="K16" s="68"/>
      <c r="L16" s="65"/>
      <c r="M16" s="65"/>
      <c r="N16" s="65"/>
      <c r="O16" s="65"/>
      <c r="P16" s="65"/>
    </row>
    <row r="17" spans="3:16" ht="15" customHeight="1">
      <c r="C17" s="773" t="str">
        <f>IF(Indice_index!$Z$1=1,"Imposto sobre Veículos (ISV)","Tax on vehicles (ISV)")</f>
        <v>Imposto sobre Veículos (ISV)</v>
      </c>
      <c r="D17" s="774">
        <v>421.86715766999998</v>
      </c>
      <c r="E17" s="774">
        <v>482.11346900000001</v>
      </c>
      <c r="F17" s="71">
        <v>421.86715766999998</v>
      </c>
      <c r="G17" s="71">
        <v>445.60312012999998</v>
      </c>
      <c r="H17" s="71">
        <f t="shared" si="3"/>
        <v>92.42702160017852</v>
      </c>
      <c r="I17" s="772">
        <f t="shared" si="0"/>
        <v>5.6264068032921255</v>
      </c>
      <c r="J17" s="68">
        <f t="shared" si="1"/>
        <v>4.7401645906759021E-2</v>
      </c>
      <c r="K17" s="68"/>
      <c r="L17" s="65"/>
      <c r="M17" s="65"/>
      <c r="N17" s="65"/>
      <c r="O17" s="65"/>
      <c r="P17" s="65"/>
    </row>
    <row r="18" spans="3:16" ht="15" customHeight="1">
      <c r="C18" s="773" t="str">
        <f>IF(Indice_index!$Z$1=1,"Imposto de consumo sobre o tabaco","Tax on tobacco")</f>
        <v>Imposto de consumo sobre o tabaco</v>
      </c>
      <c r="D18" s="774">
        <v>1413.60926199</v>
      </c>
      <c r="E18" s="774">
        <v>1433.6002309999999</v>
      </c>
      <c r="F18" s="71">
        <v>1413.60926199</v>
      </c>
      <c r="G18" s="71">
        <v>1466.21183982</v>
      </c>
      <c r="H18" s="71">
        <f t="shared" si="3"/>
        <v>102.27480493618866</v>
      </c>
      <c r="I18" s="772">
        <f t="shared" si="0"/>
        <v>3.7211540164888994</v>
      </c>
      <c r="J18" s="68">
        <f t="shared" si="1"/>
        <v>0.10504940645581017</v>
      </c>
      <c r="K18" s="68"/>
      <c r="L18" s="65"/>
      <c r="M18" s="65"/>
      <c r="N18" s="65"/>
      <c r="O18" s="65"/>
      <c r="P18" s="65"/>
    </row>
    <row r="19" spans="3:16" ht="15" customHeight="1">
      <c r="C19" s="773" t="str">
        <f>IF(Indice_index!$Z$1=1,"Imposto sobre álcool e bebidas alcoólicas (IABA)","Tax on alcoholic beverages (IABA)")</f>
        <v>Imposto sobre álcool e bebidas alcoólicas (IABA)</v>
      </c>
      <c r="D19" s="774">
        <v>256.87236737000001</v>
      </c>
      <c r="E19" s="774">
        <v>286.79578700000002</v>
      </c>
      <c r="F19" s="71">
        <v>256.87236737000001</v>
      </c>
      <c r="G19" s="71">
        <v>314.66381938000001</v>
      </c>
      <c r="H19" s="71">
        <f t="shared" si="3"/>
        <v>109.71702990183742</v>
      </c>
      <c r="I19" s="772">
        <f t="shared" si="0"/>
        <v>22.498119436395804</v>
      </c>
      <c r="J19" s="68">
        <f t="shared" si="1"/>
        <v>0.11541179125270143</v>
      </c>
      <c r="K19" s="68"/>
      <c r="L19" s="65"/>
      <c r="M19" s="65"/>
      <c r="N19" s="65"/>
      <c r="O19" s="65"/>
      <c r="P19" s="65"/>
    </row>
    <row r="20" spans="3:16" ht="15" customHeight="1">
      <c r="C20" s="773" t="str">
        <f>IF(Indice_index!$Z$1=1,"Imposto do selo","Stamp tax")</f>
        <v>Imposto do selo</v>
      </c>
      <c r="D20" s="774">
        <v>1778.41239243</v>
      </c>
      <c r="E20" s="774">
        <v>1938.1549379999999</v>
      </c>
      <c r="F20" s="71">
        <v>1778.41239243</v>
      </c>
      <c r="G20" s="71">
        <v>1893.85887329</v>
      </c>
      <c r="H20" s="71">
        <f t="shared" si="3"/>
        <v>97.714524064019898</v>
      </c>
      <c r="I20" s="772">
        <f t="shared" si="0"/>
        <v>6.4915472559351359</v>
      </c>
      <c r="J20" s="68">
        <f t="shared" si="1"/>
        <v>0.23055114011615085</v>
      </c>
      <c r="K20" s="68"/>
      <c r="L20" s="65"/>
      <c r="M20" s="65"/>
      <c r="N20" s="65"/>
      <c r="O20" s="65"/>
      <c r="P20" s="65"/>
    </row>
    <row r="21" spans="3:16" ht="15" customHeight="1">
      <c r="C21" s="773" t="str">
        <f>IF(Indice_index!$Z$1=1,"Imposto Único de Circulação (IUC)","Tax on vehicle circulation (IUC)")</f>
        <v>Imposto Único de Circulação (IUC)</v>
      </c>
      <c r="D21" s="774">
        <v>401.18201901999998</v>
      </c>
      <c r="E21" s="774">
        <v>408.600346</v>
      </c>
      <c r="F21" s="71">
        <v>401.18201901999998</v>
      </c>
      <c r="G21" s="71">
        <v>441.19194477000002</v>
      </c>
      <c r="H21" s="71">
        <f t="shared" si="3"/>
        <v>107.97640018885349</v>
      </c>
      <c r="I21" s="772">
        <f t="shared" si="0"/>
        <v>9.9730107166157502</v>
      </c>
      <c r="J21" s="68">
        <f t="shared" si="1"/>
        <v>7.9901387455986989E-2</v>
      </c>
      <c r="K21" s="68"/>
      <c r="L21" s="65"/>
      <c r="M21" s="65"/>
      <c r="N21" s="65"/>
      <c r="O21" s="65"/>
      <c r="P21" s="65"/>
    </row>
    <row r="22" spans="3:16" ht="15" customHeight="1">
      <c r="C22" s="773" t="str">
        <f>IF(Indice_index!$Z$1=1,"Outros","Others")</f>
        <v>Outros</v>
      </c>
      <c r="D22" s="774">
        <v>270.0160461000001</v>
      </c>
      <c r="E22" s="774">
        <f>221.898526-E20-E21+2405.856758</f>
        <v>281</v>
      </c>
      <c r="F22" s="71">
        <v>270.0160461000001</v>
      </c>
      <c r="G22" s="71">
        <v>283.45919756000001</v>
      </c>
      <c r="H22" s="71">
        <f t="shared" si="3"/>
        <v>100.87515927402136</v>
      </c>
      <c r="I22" s="772">
        <f t="shared" si="0"/>
        <v>4.9786491040688956</v>
      </c>
      <c r="J22" s="68">
        <f t="shared" si="1"/>
        <v>2.6846499544802803E-2</v>
      </c>
      <c r="K22" s="68"/>
      <c r="L22" s="65"/>
      <c r="M22" s="65"/>
      <c r="N22" s="65"/>
      <c r="O22" s="65"/>
      <c r="P22" s="65"/>
    </row>
    <row r="23" spans="3:16" ht="4.5" customHeight="1">
      <c r="C23" s="773"/>
      <c r="D23" s="71"/>
      <c r="E23" s="71"/>
      <c r="F23" s="71"/>
      <c r="G23" s="71"/>
      <c r="H23" s="71"/>
      <c r="I23" s="775"/>
      <c r="J23" s="68"/>
      <c r="K23" s="68"/>
      <c r="L23" s="65"/>
      <c r="M23" s="65"/>
      <c r="N23" s="65"/>
      <c r="O23" s="65"/>
      <c r="P23" s="65"/>
    </row>
    <row r="24" spans="3:16" s="277" customFormat="1" ht="15" customHeight="1">
      <c r="C24" s="770" t="str">
        <f>IF(Indice_index!$Z$1=1,"Contribuições para Segurança Social, CGA e ADSE","Social security, CGA and ADSE contributions")</f>
        <v>Contribuições para Segurança Social, CGA e ADSE</v>
      </c>
      <c r="D24" s="278">
        <f>SUM(D25:D26)</f>
        <v>66.578526589999996</v>
      </c>
      <c r="E24" s="278">
        <f>SUM(E25:E26)</f>
        <v>75.073003999999997</v>
      </c>
      <c r="F24" s="278">
        <f>SUM(F25:F26)</f>
        <v>66.578526589999996</v>
      </c>
      <c r="G24" s="278">
        <f>SUM(G25:G26)</f>
        <v>72.325494370000001</v>
      </c>
      <c r="H24" s="278">
        <f t="shared" si="3"/>
        <v>96.34021621140937</v>
      </c>
      <c r="I24" s="278">
        <f>IF(IFERROR((G24-F24)/F24*100,"")&gt;500,"-",IFERROR((G24-F24)/F24*100,""))</f>
        <v>8.6318638671454053</v>
      </c>
      <c r="J24" s="278">
        <f>IFERROR((G24-F24)/$F$62*100,"-")</f>
        <v>1.1476919556314183E-2</v>
      </c>
      <c r="K24" s="278"/>
      <c r="L24" s="273"/>
      <c r="M24" s="273"/>
      <c r="N24" s="273"/>
      <c r="O24" s="273"/>
      <c r="P24" s="273"/>
    </row>
    <row r="25" spans="3:16" ht="15" customHeight="1">
      <c r="C25" s="773" t="str">
        <f>IF(Indice_index!$Z$1=1,"Comparticipações para a ADSE","ADSE co-payments")</f>
        <v>Comparticipações para a ADSE</v>
      </c>
      <c r="D25" s="71">
        <v>0</v>
      </c>
      <c r="E25" s="71">
        <v>0</v>
      </c>
      <c r="F25" s="71">
        <v>0</v>
      </c>
      <c r="G25" s="71">
        <v>0</v>
      </c>
      <c r="H25" s="776" t="str">
        <f t="shared" si="3"/>
        <v>-</v>
      </c>
      <c r="I25" s="775" t="str">
        <f>IF(IFERROR((G25-F25)/F25*100,"")&gt;500,"-",IFERROR((G25-F25)/F25*100,""))</f>
        <v>-</v>
      </c>
      <c r="J25" s="68">
        <f>IFERROR((G25-F25)/$F$62*100,"-")</f>
        <v>0</v>
      </c>
      <c r="K25" s="68"/>
      <c r="L25" s="65"/>
      <c r="M25" s="65"/>
      <c r="N25" s="65"/>
      <c r="O25" s="65"/>
      <c r="P25" s="65"/>
    </row>
    <row r="26" spans="3:16" ht="15" customHeight="1">
      <c r="C26" s="773" t="str">
        <f>IF(Indice_index!$Z$1=1,"Outros","Others")</f>
        <v>Outros</v>
      </c>
      <c r="D26" s="71">
        <v>66.578526589999996</v>
      </c>
      <c r="E26" s="71">
        <v>75.073003999999997</v>
      </c>
      <c r="F26" s="71">
        <v>66.578526589999996</v>
      </c>
      <c r="G26" s="71">
        <v>72.325494370000001</v>
      </c>
      <c r="H26" s="71">
        <f t="shared" si="3"/>
        <v>96.34021621140937</v>
      </c>
      <c r="I26" s="775">
        <f>IF(IFERROR((G26-F26)/F26*100,"")&gt;500,"-",IFERROR((G26-F26)/F26*100,""))</f>
        <v>8.6318638671454053</v>
      </c>
      <c r="J26" s="68">
        <f>IFERROR((G26-F26)/$F$62*100,"-")</f>
        <v>1.1476919556314183E-2</v>
      </c>
      <c r="K26" s="68"/>
      <c r="M26" s="65"/>
      <c r="N26" s="65"/>
      <c r="O26" s="65"/>
      <c r="P26" s="65"/>
    </row>
    <row r="27" spans="3:16" ht="4.5" customHeight="1">
      <c r="C27" s="777"/>
      <c r="D27" s="778"/>
      <c r="E27" s="778"/>
      <c r="F27" s="778"/>
      <c r="G27" s="778"/>
      <c r="H27" s="778"/>
      <c r="I27" s="772"/>
      <c r="J27" s="70"/>
      <c r="K27" s="70"/>
      <c r="M27" s="65"/>
      <c r="N27" s="65"/>
      <c r="O27" s="65"/>
      <c r="P27" s="65"/>
    </row>
    <row r="28" spans="3:16" s="277" customFormat="1" ht="15" customHeight="1">
      <c r="C28" s="770" t="str">
        <f>IF(Indice_index!$Z$1=1,"Receita não fiscal","Non-tax revenue")</f>
        <v>Receita não fiscal</v>
      </c>
      <c r="D28" s="278">
        <f>+D29+D52</f>
        <v>4416.3290454100006</v>
      </c>
      <c r="E28" s="278">
        <f>+E29+E52</f>
        <v>5051.4053809999996</v>
      </c>
      <c r="F28" s="278">
        <f>+F29+F52</f>
        <v>4416.3290454100006</v>
      </c>
      <c r="G28" s="278">
        <f>+G29+G52</f>
        <v>4782.271616250001</v>
      </c>
      <c r="H28" s="278">
        <f t="shared" si="3"/>
        <v>94.672101238156429</v>
      </c>
      <c r="I28" s="278">
        <f t="shared" ref="I28:I50" si="6">IF(IFERROR((G28-F28)/F28*100,"")&gt;500,"-",IFERROR((G28-F28)/F28*100,""))</f>
        <v>8.2861255825204765</v>
      </c>
      <c r="J28" s="278">
        <f t="shared" ref="J28:J50" si="7">IFERROR((G28-F28)/$F$62*100,"-")</f>
        <v>0.73080163462504821</v>
      </c>
      <c r="K28" s="278"/>
      <c r="L28" s="279"/>
      <c r="M28" s="273"/>
      <c r="N28" s="273"/>
      <c r="O28" s="273"/>
      <c r="P28" s="273"/>
    </row>
    <row r="29" spans="3:16" ht="15" customHeight="1">
      <c r="C29" s="771" t="str">
        <f>IF(Indice_index!$Z$1=1,"Correntes","Current")</f>
        <v>Correntes</v>
      </c>
      <c r="D29" s="71">
        <f>SUM(D30,D35,D39,D44:D45,D49:D51)</f>
        <v>4331.561351450001</v>
      </c>
      <c r="E29" s="71">
        <f>SUM(E30,E35,E39,E44:E45,E49:E51)</f>
        <v>4521.331741</v>
      </c>
      <c r="F29" s="71">
        <f>SUM(F30,F35,F39,F44:F45,F49:F51)</f>
        <v>4331.561351450001</v>
      </c>
      <c r="G29" s="71">
        <f>SUM(G30,G35,G39,G44:G45,G49:G51)</f>
        <v>4413.3945543900008</v>
      </c>
      <c r="H29" s="71">
        <f t="shared" si="3"/>
        <v>97.612712519384246</v>
      </c>
      <c r="I29" s="775">
        <f t="shared" si="6"/>
        <v>1.8892310716690182</v>
      </c>
      <c r="J29" s="68">
        <f t="shared" si="7"/>
        <v>0.16342410870066001</v>
      </c>
      <c r="K29" s="68"/>
      <c r="L29" s="67"/>
      <c r="M29" s="65"/>
      <c r="N29" s="65"/>
      <c r="O29" s="65"/>
      <c r="P29" s="65"/>
    </row>
    <row r="30" spans="3:16" ht="15" customHeight="1">
      <c r="C30" s="773" t="str">
        <f>IF(Indice_index!$Z$1=1,"Taxas, Multas e Outras Penalidades","Taxes, fines and other penalties")</f>
        <v>Taxas, Multas e Outras Penalidades</v>
      </c>
      <c r="D30" s="71">
        <f t="shared" ref="D30:G30" si="8">SUM(D31:D34)</f>
        <v>857.09185406000006</v>
      </c>
      <c r="E30" s="71">
        <f t="shared" ref="E30" si="9">SUM(E31:E34)</f>
        <v>1005.0051129999999</v>
      </c>
      <c r="F30" s="71">
        <f t="shared" si="8"/>
        <v>857.09185406000006</v>
      </c>
      <c r="G30" s="71">
        <f t="shared" si="8"/>
        <v>1000.5390022699999</v>
      </c>
      <c r="H30" s="71">
        <f t="shared" si="3"/>
        <v>99.555613133482623</v>
      </c>
      <c r="I30" s="775">
        <f t="shared" si="6"/>
        <v>16.736496506237692</v>
      </c>
      <c r="J30" s="68">
        <f t="shared" si="7"/>
        <v>0.28646956858158062</v>
      </c>
      <c r="K30" s="68"/>
      <c r="M30" s="65"/>
      <c r="N30" s="65"/>
      <c r="O30" s="65"/>
      <c r="P30" s="65"/>
    </row>
    <row r="31" spans="3:16" ht="15" customHeight="1">
      <c r="C31" s="779" t="str">
        <f>IF(Indice_index!$Z$1=1,"Taxas","Taxes")</f>
        <v>Taxas</v>
      </c>
      <c r="D31" s="71">
        <v>546.63159624000002</v>
      </c>
      <c r="E31" s="71">
        <v>626.43151399999999</v>
      </c>
      <c r="F31" s="71">
        <v>546.63159624000002</v>
      </c>
      <c r="G31" s="71">
        <v>668.35365121999996</v>
      </c>
      <c r="H31" s="71">
        <f t="shared" si="3"/>
        <v>106.692213958444</v>
      </c>
      <c r="I31" s="775">
        <f t="shared" si="6"/>
        <v>22.267658111471032</v>
      </c>
      <c r="J31" s="68">
        <f t="shared" si="7"/>
        <v>0.2430837072197245</v>
      </c>
      <c r="K31" s="68"/>
      <c r="M31" s="65"/>
      <c r="N31" s="65"/>
      <c r="O31" s="65"/>
      <c r="P31" s="65"/>
    </row>
    <row r="32" spans="3:16" ht="15" customHeight="1">
      <c r="C32" s="779" t="str">
        <f>IF(Indice_index!$Z$1=1,"Juros de mora e compensatórios","Default and compensatory interests")</f>
        <v>Juros de mora e compensatórios</v>
      </c>
      <c r="D32" s="71">
        <v>67.454711520000004</v>
      </c>
      <c r="E32" s="71">
        <v>64.604410999999999</v>
      </c>
      <c r="F32" s="71">
        <v>67.454711520000004</v>
      </c>
      <c r="G32" s="71">
        <v>96.662951199999995</v>
      </c>
      <c r="H32" s="71">
        <f t="shared" si="3"/>
        <v>149.62283488661478</v>
      </c>
      <c r="I32" s="775">
        <f t="shared" si="6"/>
        <v>43.30051826155966</v>
      </c>
      <c r="J32" s="68">
        <f t="shared" si="7"/>
        <v>5.832999766511715E-2</v>
      </c>
      <c r="K32" s="68"/>
      <c r="M32" s="65"/>
      <c r="N32" s="65"/>
      <c r="O32" s="65"/>
      <c r="P32" s="65"/>
    </row>
    <row r="33" spans="3:16" ht="15" customHeight="1">
      <c r="C33" s="779" t="str">
        <f>IF(Indice_index!$Z$1=1,"Multas do Código da Estrada","Highway code fines")</f>
        <v>Multas do Código da Estrada</v>
      </c>
      <c r="D33" s="71">
        <v>82.447458960000006</v>
      </c>
      <c r="E33" s="71">
        <v>127.320525</v>
      </c>
      <c r="F33" s="71">
        <v>82.447458960000006</v>
      </c>
      <c r="G33" s="71">
        <v>75.156409190000005</v>
      </c>
      <c r="H33" s="71">
        <f t="shared" si="3"/>
        <v>59.029295700752101</v>
      </c>
      <c r="I33" s="775">
        <f t="shared" si="6"/>
        <v>-8.8432680181657357</v>
      </c>
      <c r="J33" s="68">
        <f t="shared" si="7"/>
        <v>-1.4560511715862264E-2</v>
      </c>
      <c r="K33" s="68"/>
      <c r="M33" s="65"/>
      <c r="N33" s="65"/>
      <c r="O33" s="65"/>
      <c r="P33" s="65"/>
    </row>
    <row r="34" spans="3:16" ht="15" customHeight="1">
      <c r="C34" s="779" t="str">
        <f>IF(Indice_index!$Z$1=1,"Outras multas e penalidades diversas","Other fines and diverse penalties")</f>
        <v>Outras multas e penalidades diversas</v>
      </c>
      <c r="D34" s="71">
        <v>160.55808733999999</v>
      </c>
      <c r="E34" s="71">
        <v>186.648663</v>
      </c>
      <c r="F34" s="71">
        <v>160.55808733999999</v>
      </c>
      <c r="G34" s="71">
        <v>160.36599065999999</v>
      </c>
      <c r="H34" s="71">
        <f t="shared" si="3"/>
        <v>85.918638838575561</v>
      </c>
      <c r="I34" s="775">
        <f t="shared" si="6"/>
        <v>-0.11964310436334805</v>
      </c>
      <c r="J34" s="68">
        <f t="shared" si="7"/>
        <v>-3.8362458739849242E-4</v>
      </c>
      <c r="K34" s="68"/>
      <c r="M34" s="65"/>
      <c r="N34" s="65"/>
      <c r="O34" s="65"/>
      <c r="P34" s="65"/>
    </row>
    <row r="35" spans="3:16" ht="15" customHeight="1">
      <c r="C35" s="773" t="str">
        <f>IF(Indice_index!$Z$1=1,"Rendimentos da Propriedade","Property income")</f>
        <v>Rendimentos da Propriedade</v>
      </c>
      <c r="D35" s="71">
        <f>SUM(D36:D38)</f>
        <v>759.19899399999997</v>
      </c>
      <c r="E35" s="71">
        <f>SUM(E36:E38)</f>
        <v>694.07876799999997</v>
      </c>
      <c r="F35" s="71">
        <f>SUM(F36:F38)</f>
        <v>759.19899399999997</v>
      </c>
      <c r="G35" s="71">
        <f>SUM(G36:G38)</f>
        <v>743.17340308000007</v>
      </c>
      <c r="H35" s="71">
        <f t="shared" si="3"/>
        <v>107.07335209539217</v>
      </c>
      <c r="I35" s="775">
        <f t="shared" si="6"/>
        <v>-2.1108551310856849</v>
      </c>
      <c r="J35" s="68">
        <f t="shared" si="7"/>
        <v>-3.2003732206627694E-2</v>
      </c>
      <c r="K35" s="68"/>
      <c r="M35" s="65"/>
      <c r="N35" s="65"/>
      <c r="O35" s="65"/>
      <c r="P35" s="65"/>
    </row>
    <row r="36" spans="3:16" ht="15" customHeight="1">
      <c r="C36" s="779" t="str">
        <f>IF(Indice_index!$Z$1=1,"Juros","Interests")</f>
        <v>Juros</v>
      </c>
      <c r="D36" s="71">
        <v>110.78467236</v>
      </c>
      <c r="E36" s="71">
        <v>179.26851599999998</v>
      </c>
      <c r="F36" s="71">
        <v>110.78467236</v>
      </c>
      <c r="G36" s="71">
        <v>121.94283648</v>
      </c>
      <c r="H36" s="71">
        <f t="shared" si="3"/>
        <v>68.02244989856446</v>
      </c>
      <c r="I36" s="775">
        <f t="shared" si="6"/>
        <v>10.071938547366026</v>
      </c>
      <c r="J36" s="68">
        <f t="shared" si="7"/>
        <v>2.2283290406996337E-2</v>
      </c>
      <c r="K36" s="68"/>
      <c r="L36" s="71"/>
      <c r="M36" s="65"/>
      <c r="N36" s="65"/>
      <c r="O36" s="65"/>
      <c r="P36" s="65"/>
    </row>
    <row r="37" spans="3:16" ht="15" customHeight="1">
      <c r="C37" s="779" t="str">
        <f>IF(Indice_index!$Z$1=1,"Dividendos e participações nos lucros","Dividends and profit participations")</f>
        <v>Dividendos e participações nos lucros</v>
      </c>
      <c r="D37" s="776">
        <v>644.85672493000004</v>
      </c>
      <c r="E37" s="776">
        <v>511.55187100000001</v>
      </c>
      <c r="F37" s="776">
        <v>644.85672493000004</v>
      </c>
      <c r="G37" s="776">
        <v>617.65908346000003</v>
      </c>
      <c r="H37" s="776">
        <f t="shared" si="3"/>
        <v>120.74221960181239</v>
      </c>
      <c r="I37" s="775">
        <f t="shared" si="6"/>
        <v>-4.2176254691229813</v>
      </c>
      <c r="J37" s="68">
        <f t="shared" si="7"/>
        <v>-5.4314754357760536E-2</v>
      </c>
      <c r="K37" s="68"/>
      <c r="M37" s="65"/>
      <c r="N37" s="65"/>
      <c r="O37" s="65"/>
      <c r="P37" s="65"/>
    </row>
    <row r="38" spans="3:16" s="66" customFormat="1" ht="15" customHeight="1">
      <c r="C38" s="779" t="str">
        <f>IF(Indice_index!$Z$1=1,"Outros","Others")</f>
        <v>Outros</v>
      </c>
      <c r="D38" s="71">
        <v>3.5575967099999999</v>
      </c>
      <c r="E38" s="71">
        <v>3.258381</v>
      </c>
      <c r="F38" s="71">
        <v>3.5575967099999999</v>
      </c>
      <c r="G38" s="71">
        <v>3.5714831399999998</v>
      </c>
      <c r="H38" s="71">
        <f t="shared" si="3"/>
        <v>109.60913226537966</v>
      </c>
      <c r="I38" s="775">
        <f t="shared" si="6"/>
        <v>0.39033176416446302</v>
      </c>
      <c r="J38" s="68">
        <f t="shared" si="7"/>
        <v>2.7731744136276777E-5</v>
      </c>
      <c r="K38" s="68"/>
      <c r="M38" s="65"/>
      <c r="N38" s="65"/>
      <c r="O38" s="65"/>
      <c r="P38" s="65"/>
    </row>
    <row r="39" spans="3:16" s="66" customFormat="1" ht="15" customHeight="1">
      <c r="C39" s="773" t="str">
        <f>IF(Indice_index!$Z$1=1,"Transferências Correntes","Current transfers")</f>
        <v>Transferências Correntes</v>
      </c>
      <c r="D39" s="71">
        <f>SUM(D40:D43)</f>
        <v>1214.3733370100001</v>
      </c>
      <c r="E39" s="71">
        <f>SUM(E40:E43)</f>
        <v>1338.8009099999999</v>
      </c>
      <c r="F39" s="71">
        <f>SUM(F40:F43)</f>
        <v>1214.3733370100001</v>
      </c>
      <c r="G39" s="71">
        <f>SUM(G40:G43)</f>
        <v>979.48103572000036</v>
      </c>
      <c r="H39" s="71">
        <f t="shared" si="3"/>
        <v>73.161067370353109</v>
      </c>
      <c r="I39" s="775">
        <f t="shared" si="6"/>
        <v>-19.342676105549693</v>
      </c>
      <c r="J39" s="68">
        <f t="shared" si="7"/>
        <v>-0.46908911786222651</v>
      </c>
      <c r="K39" s="68"/>
      <c r="L39" s="72"/>
      <c r="M39" s="65"/>
      <c r="N39" s="65"/>
      <c r="O39" s="65"/>
      <c r="P39" s="65"/>
    </row>
    <row r="40" spans="3:16" s="66" customFormat="1" ht="15" customHeight="1">
      <c r="C40" s="779" t="str">
        <f>IF(Indice_index!$Z$1=1,"Administração Central","Central Administration")</f>
        <v>Administração Central</v>
      </c>
      <c r="D40" s="71">
        <v>528.42067895000002</v>
      </c>
      <c r="E40" s="71">
        <v>559.4232750000001</v>
      </c>
      <c r="F40" s="71">
        <v>528.42067895000002</v>
      </c>
      <c r="G40" s="71">
        <v>494.41250788000025</v>
      </c>
      <c r="H40" s="71">
        <f t="shared" si="3"/>
        <v>88.378966334570222</v>
      </c>
      <c r="I40" s="775">
        <f t="shared" si="6"/>
        <v>-6.4358138174258857</v>
      </c>
      <c r="J40" s="68">
        <f t="shared" si="7"/>
        <v>-6.7915648489638533E-2</v>
      </c>
      <c r="K40" s="68"/>
      <c r="M40" s="65"/>
      <c r="N40" s="65"/>
      <c r="O40" s="65"/>
      <c r="P40" s="65"/>
    </row>
    <row r="41" spans="3:16" ht="15" customHeight="1">
      <c r="C41" s="779" t="str">
        <f>IF(Indice_index!$Z$1=1,"Outros subsectores das AP","Other General Government subsectors")</f>
        <v>Outros subsectores das AP</v>
      </c>
      <c r="D41" s="71">
        <v>215.78015270999998</v>
      </c>
      <c r="E41" s="71">
        <v>260.91179099999999</v>
      </c>
      <c r="F41" s="71">
        <v>215.78015270999998</v>
      </c>
      <c r="G41" s="71">
        <v>257.03724335000004</v>
      </c>
      <c r="H41" s="71">
        <f t="shared" si="3"/>
        <v>98.514997104902804</v>
      </c>
      <c r="I41" s="775">
        <f t="shared" si="6"/>
        <v>19.119965447168795</v>
      </c>
      <c r="J41" s="68">
        <f t="shared" si="7"/>
        <v>8.239202454739411E-2</v>
      </c>
      <c r="K41" s="68"/>
      <c r="M41" s="65"/>
      <c r="N41" s="65"/>
      <c r="O41" s="65"/>
      <c r="P41" s="65"/>
    </row>
    <row r="42" spans="3:16" s="66" customFormat="1" ht="15" customHeight="1">
      <c r="C42" s="779" t="str">
        <f>IF(Indice_index!$Z$1=1,"União Europeia","European Union")</f>
        <v>União Europeia</v>
      </c>
      <c r="D42" s="71">
        <v>456.44551322000001</v>
      </c>
      <c r="E42" s="71">
        <v>485.50868800000001</v>
      </c>
      <c r="F42" s="71">
        <v>456.44551322000001</v>
      </c>
      <c r="G42" s="71">
        <v>207.56866292000001</v>
      </c>
      <c r="H42" s="71">
        <f t="shared" si="3"/>
        <v>42.752821535502576</v>
      </c>
      <c r="I42" s="775">
        <f t="shared" si="6"/>
        <v>-54.524985587939177</v>
      </c>
      <c r="J42" s="68">
        <f t="shared" si="7"/>
        <v>-0.49701680950122618</v>
      </c>
      <c r="K42" s="68"/>
      <c r="M42" s="65"/>
      <c r="N42" s="65"/>
      <c r="O42" s="65"/>
      <c r="P42" s="65"/>
    </row>
    <row r="43" spans="3:16" ht="15" customHeight="1">
      <c r="C43" s="779" t="str">
        <f>IF(Indice_index!$Z$1=1,"Outros","Others")</f>
        <v>Outros</v>
      </c>
      <c r="D43" s="71">
        <v>13.726992130000001</v>
      </c>
      <c r="E43" s="71">
        <v>32.957155999999998</v>
      </c>
      <c r="F43" s="71">
        <v>13.726992130000001</v>
      </c>
      <c r="G43" s="71">
        <v>20.46262157</v>
      </c>
      <c r="H43" s="71">
        <f t="shared" si="3"/>
        <v>62.088553909202602</v>
      </c>
      <c r="I43" s="775">
        <f t="shared" si="6"/>
        <v>49.068502234218137</v>
      </c>
      <c r="J43" s="68">
        <f t="shared" si="7"/>
        <v>1.3451315581244037E-2</v>
      </c>
      <c r="K43" s="68"/>
      <c r="M43" s="65"/>
      <c r="N43" s="65"/>
      <c r="O43" s="65"/>
      <c r="P43" s="65"/>
    </row>
    <row r="44" spans="3:16" s="66" customFormat="1" ht="15" customHeight="1">
      <c r="C44" s="773" t="str">
        <f>IF(Indice_index!$Z$1=1,"Venda de Bens e Serviços Correntes","Sale of current goods and services")</f>
        <v>Venda de Bens e Serviços Correntes</v>
      </c>
      <c r="D44" s="71">
        <v>736.75581270999999</v>
      </c>
      <c r="E44" s="71">
        <v>821.02860499999997</v>
      </c>
      <c r="F44" s="71">
        <v>736.75581270999999</v>
      </c>
      <c r="G44" s="71">
        <v>846.11572755999998</v>
      </c>
      <c r="H44" s="71">
        <f t="shared" si="3"/>
        <v>103.05557229154032</v>
      </c>
      <c r="I44" s="775">
        <f t="shared" si="6"/>
        <v>14.843441064651088</v>
      </c>
      <c r="J44" s="68">
        <f t="shared" si="7"/>
        <v>0.21839602960481841</v>
      </c>
      <c r="K44" s="68"/>
      <c r="M44" s="65"/>
      <c r="N44" s="65"/>
      <c r="O44" s="65"/>
      <c r="P44" s="65"/>
    </row>
    <row r="45" spans="3:16" ht="15" customHeight="1">
      <c r="C45" s="773" t="str">
        <f>IF(Indice_index!$Z$1=1,"Outras Receitas Correntes","Other current revenue")</f>
        <v>Outras Receitas Correntes</v>
      </c>
      <c r="D45" s="776">
        <f t="shared" ref="D45:E45" si="10">SUM(D46:D48)</f>
        <v>351.11166080999999</v>
      </c>
      <c r="E45" s="776">
        <f t="shared" si="10"/>
        <v>408.08124099999998</v>
      </c>
      <c r="F45" s="776">
        <f t="shared" ref="F45:G45" si="11">SUM(F46:F48)</f>
        <v>351.11166080999999</v>
      </c>
      <c r="G45" s="776">
        <f t="shared" si="11"/>
        <v>248.11074549</v>
      </c>
      <c r="H45" s="776">
        <f t="shared" si="3"/>
        <v>60.799350855238167</v>
      </c>
      <c r="I45" s="775">
        <f t="shared" si="6"/>
        <v>-29.335657802529592</v>
      </c>
      <c r="J45" s="68">
        <f t="shared" si="7"/>
        <v>-0.20569685869273618</v>
      </c>
      <c r="K45" s="68"/>
      <c r="M45" s="65"/>
      <c r="N45" s="65"/>
      <c r="O45" s="65"/>
      <c r="P45" s="65"/>
    </row>
    <row r="46" spans="3:16" ht="15" customHeight="1">
      <c r="C46" s="779" t="str">
        <f>IF(Indice_index!$Z$1=1,"Prémios e taxas por garantias de riscos","Premiums and rates on risk guarantees")</f>
        <v>Prémios e taxas por garantias de riscos</v>
      </c>
      <c r="D46" s="776">
        <v>31.280779299999999</v>
      </c>
      <c r="E46" s="776">
        <v>23.531946000000001</v>
      </c>
      <c r="F46" s="776">
        <v>31.280779299999999</v>
      </c>
      <c r="G46" s="776">
        <v>37.038945329999997</v>
      </c>
      <c r="H46" s="776">
        <f t="shared" si="3"/>
        <v>157.39856504005235</v>
      </c>
      <c r="I46" s="775">
        <f t="shared" si="6"/>
        <v>18.408000564103588</v>
      </c>
      <c r="J46" s="68">
        <f>IFERROR((G46-F46)/$F$62*100,"-")</f>
        <v>1.149928289979223E-2</v>
      </c>
      <c r="K46" s="68"/>
      <c r="M46" s="65"/>
      <c r="N46" s="65"/>
      <c r="O46" s="65"/>
      <c r="P46" s="65"/>
    </row>
    <row r="47" spans="3:16" ht="15" customHeight="1">
      <c r="C47" s="779" t="str">
        <f>IF(Indice_index!$Z$1=1,"Subsídios","Subsidies")</f>
        <v>Subsídios</v>
      </c>
      <c r="D47" s="71">
        <v>252.35391096000001</v>
      </c>
      <c r="E47" s="71">
        <v>313.19213500000001</v>
      </c>
      <c r="F47" s="71">
        <v>252.35391096000001</v>
      </c>
      <c r="G47" s="71">
        <v>153.62389571</v>
      </c>
      <c r="H47" s="71">
        <f t="shared" si="3"/>
        <v>49.051006887513317</v>
      </c>
      <c r="I47" s="775">
        <f t="shared" si="6"/>
        <v>-39.123631916150273</v>
      </c>
      <c r="J47" s="68">
        <f t="shared" si="7"/>
        <v>-0.19716770411716514</v>
      </c>
      <c r="K47" s="68"/>
      <c r="M47" s="65"/>
      <c r="N47" s="65"/>
      <c r="O47" s="65"/>
      <c r="P47" s="65"/>
    </row>
    <row r="48" spans="3:16" ht="15" customHeight="1">
      <c r="C48" s="779" t="str">
        <f>IF(Indice_index!$Z$1=1,"Outras","Others")</f>
        <v>Outras</v>
      </c>
      <c r="D48" s="71">
        <v>67.476970550000004</v>
      </c>
      <c r="E48" s="71">
        <v>71.357159999999993</v>
      </c>
      <c r="F48" s="71">
        <v>67.476970550000004</v>
      </c>
      <c r="G48" s="71">
        <v>57.447904449999996</v>
      </c>
      <c r="H48" s="71">
        <f t="shared" si="3"/>
        <v>80.50755446264958</v>
      </c>
      <c r="I48" s="775">
        <f t="shared" si="6"/>
        <v>-14.86294659978627</v>
      </c>
      <c r="J48" s="68">
        <f t="shared" si="7"/>
        <v>-2.0028437475363328E-2</v>
      </c>
      <c r="K48" s="68"/>
      <c r="M48" s="65"/>
      <c r="N48" s="65"/>
      <c r="O48" s="65"/>
      <c r="P48" s="65"/>
    </row>
    <row r="49" spans="3:16" ht="15" customHeight="1">
      <c r="C49" s="773" t="str">
        <f>IF(Indice_index!$Z$1=1,"Recursos Próprios Comunitários","Community own resources")</f>
        <v>Recursos Próprios Comunitários</v>
      </c>
      <c r="D49" s="71">
        <v>238.33935378000001</v>
      </c>
      <c r="E49" s="71">
        <v>247.25</v>
      </c>
      <c r="F49" s="71">
        <v>238.33935378000001</v>
      </c>
      <c r="G49" s="71">
        <v>365.09806216999999</v>
      </c>
      <c r="H49" s="71">
        <f t="shared" si="3"/>
        <v>147.66352362790698</v>
      </c>
      <c r="I49" s="775">
        <f t="shared" si="6"/>
        <v>53.184128587931411</v>
      </c>
      <c r="J49" s="68">
        <f t="shared" si="7"/>
        <v>0.253142101181976</v>
      </c>
      <c r="K49" s="68"/>
      <c r="M49" s="65"/>
      <c r="N49" s="65"/>
      <c r="O49" s="65"/>
      <c r="P49" s="65"/>
    </row>
    <row r="50" spans="3:16" ht="15" customHeight="1">
      <c r="C50" s="773" t="str">
        <f>IF(Indice_index!$Z$1=1,"Reposições Não Abatidas nos Pagamentos","Refunds not deducted from payments")</f>
        <v>Reposições Não Abatidas nos Pagamentos</v>
      </c>
      <c r="D50" s="71">
        <v>174.68589734</v>
      </c>
      <c r="E50" s="71">
        <v>5.1884009999999998</v>
      </c>
      <c r="F50" s="71">
        <v>174.68589734</v>
      </c>
      <c r="G50" s="71">
        <v>230.87181773</v>
      </c>
      <c r="H50" s="776" t="str">
        <f t="shared" si="3"/>
        <v>-</v>
      </c>
      <c r="I50" s="775">
        <f t="shared" si="6"/>
        <v>32.163970443843276</v>
      </c>
      <c r="J50" s="68">
        <f t="shared" si="7"/>
        <v>0.11220548177729686</v>
      </c>
      <c r="K50" s="68"/>
      <c r="M50" s="65"/>
      <c r="N50" s="65"/>
      <c r="O50" s="65"/>
      <c r="P50" s="65"/>
    </row>
    <row r="51" spans="3:16" ht="15" customHeight="1">
      <c r="C51" s="773" t="str">
        <f>IF(Indice_index!$Z$1=1,"Diferenças de consolidação","Consolidation differences")</f>
        <v>Diferenças de consolidação</v>
      </c>
      <c r="D51" s="71">
        <v>4.4417399999999996E-3</v>
      </c>
      <c r="E51" s="71">
        <v>1.898703</v>
      </c>
      <c r="F51" s="71">
        <v>4.4417399999999996E-3</v>
      </c>
      <c r="G51" s="71">
        <v>4.7603699999999999E-3</v>
      </c>
      <c r="H51" s="776">
        <f t="shared" si="3"/>
        <v>0.25071693677210177</v>
      </c>
      <c r="I51" s="775"/>
      <c r="J51" s="68"/>
      <c r="K51" s="68"/>
      <c r="M51" s="65"/>
      <c r="N51" s="65"/>
      <c r="O51" s="65"/>
      <c r="P51" s="65"/>
    </row>
    <row r="52" spans="3:16" ht="15" customHeight="1">
      <c r="C52" s="771" t="s">
        <v>5</v>
      </c>
      <c r="D52" s="776">
        <f>SUM(D53:D54,D59:D60)</f>
        <v>84.767693959999988</v>
      </c>
      <c r="E52" s="776">
        <f>SUM(E53:E54,E59:E60)</f>
        <v>530.07363999999995</v>
      </c>
      <c r="F52" s="776">
        <f>SUM(F53:F54,F59:F60)</f>
        <v>84.767693959999988</v>
      </c>
      <c r="G52" s="776">
        <f>SUM(G53:G54,G59:G60)</f>
        <v>368.87706186000003</v>
      </c>
      <c r="H52" s="776">
        <f t="shared" si="3"/>
        <v>69.589776594059657</v>
      </c>
      <c r="I52" s="775">
        <f t="shared" ref="I52:I59" si="12">IF(IFERROR((G52-F52)/F52*100,"")&gt;500,"-",IFERROR((G52-F52)/F52*100,""))</f>
        <v>335.16231789207927</v>
      </c>
      <c r="J52" s="68">
        <f t="shared" ref="J52:J59" si="13">IFERROR((G52-F52)/$F$62*100,"-")</f>
        <v>0.56737752592438728</v>
      </c>
      <c r="K52" s="68"/>
      <c r="L52" s="65"/>
      <c r="M52" s="65"/>
      <c r="N52" s="65"/>
      <c r="O52" s="65"/>
      <c r="P52" s="65"/>
    </row>
    <row r="53" spans="3:16" ht="15" customHeight="1">
      <c r="C53" s="773" t="str">
        <f>IF(Indice_index!$Z$1=1,"Venda de Bens de Investimento","Sale of investment goods")</f>
        <v>Venda de Bens de Investimento</v>
      </c>
      <c r="D53" s="71">
        <v>36.8988175</v>
      </c>
      <c r="E53" s="71">
        <v>53.822319</v>
      </c>
      <c r="F53" s="71">
        <v>36.8988175</v>
      </c>
      <c r="G53" s="71">
        <v>35.344150110000001</v>
      </c>
      <c r="H53" s="71">
        <f t="shared" si="3"/>
        <v>65.668203761342951</v>
      </c>
      <c r="I53" s="775">
        <f t="shared" si="12"/>
        <v>-4.2133257793423837</v>
      </c>
      <c r="J53" s="68">
        <f t="shared" si="13"/>
        <v>-3.1047316175931124E-3</v>
      </c>
      <c r="K53" s="68"/>
      <c r="M53" s="65"/>
      <c r="N53" s="65"/>
      <c r="O53" s="65"/>
      <c r="P53" s="65"/>
    </row>
    <row r="54" spans="3:16" ht="15" customHeight="1">
      <c r="C54" s="773" t="str">
        <f>IF(Indice_index!$Z$1=1,"Transferências de Capital","Capital transfers")</f>
        <v>Transferências de Capital</v>
      </c>
      <c r="D54" s="776">
        <f>SUM(D55:D58)</f>
        <v>45.685864639999998</v>
      </c>
      <c r="E54" s="776">
        <f>SUM(E55:E58)</f>
        <v>469.99793599999998</v>
      </c>
      <c r="F54" s="776">
        <f>SUM(F55:F58)</f>
        <v>45.685864639999998</v>
      </c>
      <c r="G54" s="776">
        <f>SUM(G55:G58)</f>
        <v>264.19064558000002</v>
      </c>
      <c r="H54" s="776">
        <f t="shared" si="3"/>
        <v>56.211022505426499</v>
      </c>
      <c r="I54" s="775">
        <f t="shared" si="12"/>
        <v>478.27655810346511</v>
      </c>
      <c r="J54" s="68">
        <f t="shared" si="13"/>
        <v>0.43636259842028036</v>
      </c>
      <c r="K54" s="68"/>
      <c r="M54" s="65"/>
      <c r="N54" s="65"/>
      <c r="O54" s="65"/>
      <c r="P54" s="65"/>
    </row>
    <row r="55" spans="3:16" ht="15" customHeight="1">
      <c r="C55" s="779" t="str">
        <f>IF(Indice_index!$Z$1=1,"Administração Central","Central Administration")</f>
        <v>Administração Central</v>
      </c>
      <c r="D55" s="71">
        <v>17.407786689999998</v>
      </c>
      <c r="E55" s="71">
        <v>33.988917999999998</v>
      </c>
      <c r="F55" s="71">
        <v>17.407786689999998</v>
      </c>
      <c r="G55" s="71">
        <v>14.291490170000001</v>
      </c>
      <c r="H55" s="71">
        <f t="shared" si="3"/>
        <v>42.047499629143836</v>
      </c>
      <c r="I55" s="775">
        <f t="shared" si="12"/>
        <v>-17.901738891309893</v>
      </c>
      <c r="J55" s="68">
        <f t="shared" si="13"/>
        <v>-6.2233661024043117E-3</v>
      </c>
      <c r="K55" s="68"/>
      <c r="L55" s="73"/>
      <c r="M55" s="65"/>
      <c r="N55" s="65"/>
      <c r="O55" s="65"/>
      <c r="P55" s="65"/>
    </row>
    <row r="56" spans="3:16" ht="15" customHeight="1">
      <c r="C56" s="779" t="str">
        <f>IF(Indice_index!$Z$1=1,"Outros subsectores das AP","Other General Government subsectors")</f>
        <v>Outros subsectores das AP</v>
      </c>
      <c r="D56" s="71">
        <v>3.0124069999999999E-2</v>
      </c>
      <c r="E56" s="71">
        <v>0</v>
      </c>
      <c r="F56" s="71">
        <v>3.0124069999999999E-2</v>
      </c>
      <c r="G56" s="71">
        <v>3.7399849999999998E-2</v>
      </c>
      <c r="H56" s="776" t="str">
        <f>IFERROR(IF(G56/E56*100&lt;-500,"-",IF(G56/E56*100&gt;500,"-",G56/E56*100)),"-")</f>
        <v>-</v>
      </c>
      <c r="I56" s="775">
        <f t="shared" si="12"/>
        <v>24.152712432284215</v>
      </c>
      <c r="J56" s="68">
        <f t="shared" si="13"/>
        <v>1.453001738761088E-5</v>
      </c>
      <c r="K56" s="68"/>
      <c r="L56" s="74"/>
      <c r="M56" s="65"/>
      <c r="N56" s="65"/>
      <c r="O56" s="65"/>
      <c r="P56" s="65"/>
    </row>
    <row r="57" spans="3:16" ht="15" customHeight="1">
      <c r="C57" s="779" t="str">
        <f>IF(Indice_index!$Z$1=1,"União Europeia","European Union")</f>
        <v>União Europeia</v>
      </c>
      <c r="D57" s="71">
        <v>18.856822619999999</v>
      </c>
      <c r="E57" s="71">
        <v>435.52218199999999</v>
      </c>
      <c r="F57" s="71">
        <v>18.856822619999999</v>
      </c>
      <c r="G57" s="71">
        <v>247.35334850999999</v>
      </c>
      <c r="H57" s="71">
        <f t="shared" si="3"/>
        <v>56.794661381908675</v>
      </c>
      <c r="I57" s="775" t="str">
        <f t="shared" si="12"/>
        <v>-</v>
      </c>
      <c r="J57" s="68">
        <f t="shared" si="13"/>
        <v>0.45631650409858188</v>
      </c>
      <c r="K57" s="68"/>
      <c r="L57" s="74"/>
      <c r="M57" s="65"/>
      <c r="N57" s="65"/>
      <c r="O57" s="65"/>
      <c r="P57" s="65"/>
    </row>
    <row r="58" spans="3:16" ht="15" customHeight="1">
      <c r="C58" s="779" t="str">
        <f>IF(Indice_index!$Z$1=1,"Outros","Others")</f>
        <v>Outros</v>
      </c>
      <c r="D58" s="71">
        <v>9.3911312599999999</v>
      </c>
      <c r="E58" s="71">
        <v>0.48683600000000005</v>
      </c>
      <c r="F58" s="71">
        <v>9.3911312599999999</v>
      </c>
      <c r="G58" s="71">
        <v>2.5084070499999997</v>
      </c>
      <c r="H58" s="776" t="str">
        <f t="shared" si="3"/>
        <v>-</v>
      </c>
      <c r="I58" s="775">
        <f t="shared" si="12"/>
        <v>-73.289617826084992</v>
      </c>
      <c r="J58" s="68">
        <f t="shared" si="13"/>
        <v>-1.3745069593284897E-2</v>
      </c>
      <c r="K58" s="68"/>
      <c r="M58" s="65"/>
      <c r="N58" s="65"/>
      <c r="O58" s="65"/>
      <c r="P58" s="65"/>
    </row>
    <row r="59" spans="3:16" ht="15" customHeight="1">
      <c r="C59" s="773" t="str">
        <f>IF(Indice_index!$Z$1=1,"Outras Receitas de Capital","Other capital revenue")</f>
        <v>Outras Receitas de Capital</v>
      </c>
      <c r="D59" s="71">
        <v>1.50296685</v>
      </c>
      <c r="E59" s="71">
        <v>6.2533849999999997</v>
      </c>
      <c r="F59" s="71">
        <v>1.50296685</v>
      </c>
      <c r="G59" s="71">
        <v>69.342266170000002</v>
      </c>
      <c r="H59" s="776" t="str">
        <f t="shared" si="3"/>
        <v>-</v>
      </c>
      <c r="I59" s="775" t="str">
        <f t="shared" si="12"/>
        <v>-</v>
      </c>
      <c r="J59" s="68">
        <f t="shared" si="13"/>
        <v>0.1354777355394115</v>
      </c>
      <c r="K59" s="68"/>
      <c r="M59" s="65"/>
      <c r="N59" s="65"/>
      <c r="O59" s="65"/>
      <c r="P59" s="65"/>
    </row>
    <row r="60" spans="3:16" ht="15" customHeight="1">
      <c r="C60" s="773" t="str">
        <f>IF(Indice_index!$Z$1=1,"Diferenças de consolidação","Consolidation differences")</f>
        <v>Diferenças de consolidação</v>
      </c>
      <c r="D60" s="71">
        <v>0.68004496999999997</v>
      </c>
      <c r="E60" s="71">
        <v>0</v>
      </c>
      <c r="F60" s="71">
        <v>0.68004496999999731</v>
      </c>
      <c r="G60" s="71">
        <v>0</v>
      </c>
      <c r="H60" s="776" t="str">
        <f t="shared" si="3"/>
        <v>-</v>
      </c>
      <c r="I60" s="775"/>
      <c r="J60" s="68"/>
      <c r="K60" s="68"/>
      <c r="M60" s="65"/>
      <c r="N60" s="65"/>
      <c r="O60" s="65"/>
      <c r="P60" s="65"/>
    </row>
    <row r="61" spans="3:16" ht="4.5" customHeight="1">
      <c r="C61" s="777"/>
      <c r="D61" s="71"/>
      <c r="E61" s="71"/>
      <c r="F61" s="71"/>
      <c r="G61" s="71"/>
      <c r="H61" s="71"/>
      <c r="I61" s="772"/>
      <c r="J61" s="68"/>
      <c r="K61" s="68"/>
      <c r="M61" s="65"/>
      <c r="N61" s="65"/>
      <c r="O61" s="65"/>
      <c r="P61" s="65"/>
    </row>
    <row r="62" spans="3:16" s="277" customFormat="1" ht="15" customHeight="1">
      <c r="C62" s="780" t="str">
        <f>IF(Indice_index!$Z$1=1,"Receita efetiva","Effective Revenue")</f>
        <v>Receita efetiva</v>
      </c>
      <c r="D62" s="781">
        <f>+D9+D24+D28</f>
        <v>50074.131406090004</v>
      </c>
      <c r="E62" s="781">
        <f>+E9+E24+E28</f>
        <v>53717.583897999997</v>
      </c>
      <c r="F62" s="781">
        <f>+F9+F24+F28</f>
        <v>50074.131406090004</v>
      </c>
      <c r="G62" s="781">
        <f>+G9+G24+G28</f>
        <v>56879.288298299994</v>
      </c>
      <c r="H62" s="781">
        <f>IFERROR(IF(G62/E62*100&lt;-500,"-",IF(G62/E62*100&gt;500,"-",G62/E62*100)),"-")</f>
        <v>105.88579040766895</v>
      </c>
      <c r="I62" s="782">
        <f>IFERROR((G62-F62)/F62*100,"-")</f>
        <v>13.590164624168297</v>
      </c>
      <c r="J62" s="782"/>
      <c r="K62" s="280"/>
      <c r="L62" s="625"/>
      <c r="M62" s="273"/>
      <c r="N62" s="273"/>
      <c r="O62" s="273"/>
      <c r="P62" s="273"/>
    </row>
    <row r="63" spans="3:16" ht="15" customHeight="1">
      <c r="C63" s="783" t="str">
        <f>IF(Indice_index!$Z$1=1,"   Por memória:","   Memo item:")</f>
        <v xml:space="preserve">   Por memória:</v>
      </c>
      <c r="D63" s="784"/>
      <c r="E63" s="784"/>
      <c r="F63" s="784"/>
      <c r="G63" s="784"/>
      <c r="H63" s="784"/>
      <c r="I63" s="769"/>
      <c r="J63" s="66"/>
      <c r="K63" s="66"/>
      <c r="L63" s="69"/>
      <c r="M63" s="65"/>
      <c r="N63" s="65"/>
      <c r="O63" s="65"/>
      <c r="P63" s="65"/>
    </row>
    <row r="64" spans="3:16" ht="15" customHeight="1">
      <c r="C64" s="773" t="str">
        <f>IF(Indice_index!$Z$1=1,"Ativos Financeiros","Financial assets")</f>
        <v>Ativos Financeiros</v>
      </c>
      <c r="D64" s="71">
        <f>SUM(D65:D66)</f>
        <v>643.73246323000001</v>
      </c>
      <c r="E64" s="71">
        <f>SUM(E65:E66)</f>
        <v>3347.2469719999999</v>
      </c>
      <c r="F64" s="71">
        <f>SUM(F65:F66)</f>
        <v>643.73246323000001</v>
      </c>
      <c r="G64" s="71">
        <f>SUM(G65:G66)</f>
        <v>592.75503642000001</v>
      </c>
      <c r="H64" s="71"/>
      <c r="I64" s="772">
        <f>IF(IFERROR((G64-F64)/F64*100,"")&gt;500,"-",IFERROR((G64-F64)/F64*100,""))</f>
        <v>-7.9190393093141562</v>
      </c>
      <c r="J64" s="66"/>
      <c r="K64" s="66"/>
      <c r="L64" s="67"/>
      <c r="M64" s="65"/>
      <c r="N64" s="65"/>
      <c r="O64" s="65"/>
      <c r="P64" s="65"/>
    </row>
    <row r="65" spans="3:17" ht="15" customHeight="1">
      <c r="C65" s="779" t="str">
        <f>IF(Indice_index!$Z$1=1,"Alienação de partes sociais de empresas","Divestment of company shares")</f>
        <v>Alienação de partes sociais de empresas</v>
      </c>
      <c r="D65" s="785">
        <v>1.3794E-4</v>
      </c>
      <c r="E65" s="785">
        <v>0</v>
      </c>
      <c r="F65" s="785">
        <v>1.3794E-4</v>
      </c>
      <c r="G65" s="785">
        <v>0</v>
      </c>
      <c r="H65" s="785"/>
      <c r="I65" s="772">
        <f>IF(IFERROR((G65-F65)/F65*100,"")&gt;500,"-",IFERROR((G65-F65)/F65*100,""))</f>
        <v>-100</v>
      </c>
      <c r="J65" s="66"/>
      <c r="K65" s="66"/>
      <c r="L65" s="75"/>
      <c r="M65" s="65"/>
      <c r="N65" s="65"/>
      <c r="O65" s="65"/>
      <c r="P65" s="65"/>
    </row>
    <row r="66" spans="3:17" ht="15" customHeight="1">
      <c r="C66" s="779" t="str">
        <f>IF(Indice_index!$Z$1=1,"Outros ativos","Other assets")</f>
        <v>Outros ativos</v>
      </c>
      <c r="D66" s="786">
        <v>643.73232529000006</v>
      </c>
      <c r="E66" s="786">
        <v>3347.2469719999999</v>
      </c>
      <c r="F66" s="786">
        <v>643.73232529000006</v>
      </c>
      <c r="G66" s="786">
        <v>592.75503642000001</v>
      </c>
      <c r="H66" s="786"/>
      <c r="I66" s="772">
        <f>IF(IFERROR((G66-F66)/F66*100,"")&gt;500,"-",IFERROR((G66-F66)/F66*100,""))</f>
        <v>-7.919019578057525</v>
      </c>
      <c r="J66" s="66"/>
      <c r="K66" s="66"/>
      <c r="L66" s="67"/>
      <c r="M66" s="65"/>
      <c r="N66" s="65"/>
      <c r="O66" s="65"/>
      <c r="P66" s="65"/>
    </row>
    <row r="67" spans="3:17" ht="15" customHeight="1">
      <c r="C67" s="773" t="str">
        <f>IF(Indice_index!$Z$1=1,"Passivos Financeiros","Financial liabilities")</f>
        <v>Passivos Financeiros</v>
      </c>
      <c r="D67" s="786">
        <v>63645.434409809997</v>
      </c>
      <c r="E67" s="786">
        <v>99026.885108000002</v>
      </c>
      <c r="F67" s="786">
        <v>63645.434409809997</v>
      </c>
      <c r="G67" s="786">
        <v>64788.174303300002</v>
      </c>
      <c r="H67" s="786"/>
      <c r="I67" s="772">
        <f>IF(IFERROR((G67-F67)/F67*100,"")&gt;500,"-",IFERROR((G67-F67)/F67*100,""))</f>
        <v>1.7954781895775203</v>
      </c>
      <c r="J67" s="66"/>
      <c r="K67" s="66"/>
      <c r="L67" s="75"/>
      <c r="M67" s="65"/>
      <c r="N67" s="65"/>
      <c r="O67" s="65"/>
      <c r="P67" s="65"/>
    </row>
    <row r="68" spans="3:17" ht="15" customHeight="1">
      <c r="C68" s="787" t="str">
        <f>IF(Indice_index!$Z$1=1,"Saldo da Gerência Anterior","Previous management balance")</f>
        <v>Saldo da Gerência Anterior</v>
      </c>
      <c r="D68" s="788">
        <v>-7.0201009699999997</v>
      </c>
      <c r="E68" s="788">
        <v>0</v>
      </c>
      <c r="F68" s="788">
        <v>-7.0201009699999997</v>
      </c>
      <c r="G68" s="788">
        <v>-1.3900760000000001</v>
      </c>
      <c r="H68" s="788"/>
      <c r="I68" s="789">
        <f>IF(IFERROR((G68-F68)/F68*100,"")&gt;500,"-",IFERROR((G68-F68)/F68*100,""))</f>
        <v>-80.198632385197726</v>
      </c>
      <c r="J68" s="790"/>
      <c r="K68" s="66"/>
      <c r="M68" s="65"/>
      <c r="N68" s="65"/>
      <c r="O68" s="65"/>
      <c r="P68" s="65"/>
    </row>
    <row r="69" spans="3:17" ht="4.5" customHeight="1">
      <c r="C69" s="773"/>
      <c r="D69" s="773"/>
      <c r="E69" s="773"/>
      <c r="F69" s="71"/>
      <c r="G69" s="71"/>
      <c r="H69" s="71"/>
      <c r="I69" s="769"/>
      <c r="J69" s="66"/>
      <c r="K69" s="66"/>
      <c r="L69" s="67"/>
      <c r="M69" s="65"/>
      <c r="N69" s="65"/>
      <c r="O69" s="65"/>
      <c r="P69" s="65"/>
    </row>
    <row r="70" spans="3:17" ht="15" customHeight="1">
      <c r="C70" s="791" t="str">
        <f>IF(Indice_index!$Z$1=1,"Notas:","Notes:")</f>
        <v>Notas:</v>
      </c>
      <c r="D70" s="791"/>
      <c r="E70" s="791"/>
      <c r="F70" s="76"/>
      <c r="G70" s="792"/>
      <c r="H70" s="792"/>
      <c r="I70" s="76"/>
      <c r="J70" s="76"/>
      <c r="K70" s="76"/>
    </row>
    <row r="71" spans="3:17" ht="15" customHeight="1">
      <c r="C71" s="1724" t="str">
        <f>IF(Indice_index!$Z$1=1,"Valores registados no Sistema Central de Receitas (SCR).","Amounts accounted for on the Central Revenue System (SCR).")</f>
        <v>Valores registados no Sistema Central de Receitas (SCR).</v>
      </c>
      <c r="D71" s="1724"/>
      <c r="E71" s="1724"/>
      <c r="F71" s="1724"/>
      <c r="G71" s="1724"/>
      <c r="H71" s="1724"/>
      <c r="I71" s="1724"/>
      <c r="J71" s="1724"/>
      <c r="K71" s="76"/>
    </row>
    <row r="72" spans="3:17" s="22" customFormat="1" ht="12.75" customHeight="1">
      <c r="C72" s="1716" t="str">
        <f>+'5 - Conta AC + SS'!$C$64</f>
        <v>Os dados da execução acumulada de 2021 correspondem aos valores publicados na Conta Geral do Estado.</v>
      </c>
      <c r="D72" s="1716"/>
      <c r="E72" s="1716"/>
      <c r="F72" s="1716"/>
      <c r="G72" s="1716"/>
      <c r="H72" s="1716"/>
      <c r="I72" s="1716"/>
      <c r="J72" s="1716"/>
      <c r="K72" s="62"/>
      <c r="P72" s="24"/>
      <c r="Q72" s="24"/>
    </row>
    <row r="73" spans="3:17" ht="15.75" customHeight="1">
      <c r="C73" s="1725"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3" s="1725"/>
      <c r="E73" s="1725"/>
      <c r="F73" s="1725"/>
      <c r="G73" s="1725"/>
      <c r="H73" s="1725"/>
      <c r="I73" s="1725"/>
      <c r="J73" s="1725"/>
      <c r="K73" s="77"/>
    </row>
    <row r="74" spans="3:17" ht="4.5" customHeight="1">
      <c r="C74" s="415"/>
      <c r="D74" s="415"/>
      <c r="E74" s="415"/>
    </row>
    <row r="75" spans="3:17" ht="15" customHeight="1">
      <c r="C75" s="777" t="str">
        <f>IF(Indice_index!$Z$1=1,"Fonte: Direção-Geral do Orçamento","Source: Budget General Directorate")</f>
        <v>Fonte: Direção-Geral do Orçamento</v>
      </c>
      <c r="D75" s="777"/>
      <c r="E75" s="777"/>
      <c r="L75" s="74"/>
    </row>
    <row r="76" spans="3:17" ht="11.25" customHeight="1">
      <c r="C76" s="592"/>
      <c r="D76" s="592"/>
      <c r="E76" s="636"/>
      <c r="F76" s="592"/>
      <c r="G76" s="592"/>
      <c r="H76" s="638"/>
      <c r="I76" s="592"/>
      <c r="J76" s="592"/>
      <c r="K76" s="78"/>
      <c r="L76" s="74"/>
    </row>
    <row r="77" spans="3:17">
      <c r="F77" s="688"/>
      <c r="G77" s="688"/>
    </row>
    <row r="92" spans="6:6">
      <c r="F92" s="79"/>
    </row>
  </sheetData>
  <mergeCells count="5">
    <mergeCell ref="F6:G6"/>
    <mergeCell ref="I6:J6"/>
    <mergeCell ref="C71:J71"/>
    <mergeCell ref="C73:J73"/>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2" customWidth="1"/>
    <col min="4" max="4" width="6.85546875" style="62" hidden="1" customWidth="1"/>
    <col min="5" max="6" width="9.42578125" style="62" customWidth="1"/>
    <col min="7" max="10" width="9.42578125" style="53" customWidth="1"/>
    <col min="11" max="14" width="8.5703125" style="53" customWidth="1"/>
    <col min="15" max="15" width="9.5703125" style="50" bestFit="1" customWidth="1"/>
    <col min="16" max="17" width="9.140625" style="50" customWidth="1"/>
    <col min="18" max="16384" width="9.140625" style="53"/>
  </cols>
  <sheetData>
    <row r="1" spans="2:23" s="50" customFormat="1" ht="15" customHeight="1">
      <c r="B1" s="49"/>
      <c r="C1" s="49"/>
      <c r="D1" s="49"/>
      <c r="E1" s="49"/>
    </row>
    <row r="2" spans="2:23" ht="38.25" customHeight="1">
      <c r="B2" s="8"/>
      <c r="C2" s="1726" t="str">
        <f>IF(Indice_index!$Z$1=1,"9 - Execução Orçamental dos Serviços e Fundos Autónomos 
(inclui Entidades Públicas Reclassificadas da Administração Central)","9 - Autonomous Services and Funds Budget Execution (including State Owned Enterprises)")</f>
        <v>9 - Execução Orçamental dos Serviços e Fundos Autónomos 
(inclui Entidades Públicas Reclassificadas da Administração Central)</v>
      </c>
      <c r="D2" s="1726"/>
      <c r="E2" s="1726"/>
      <c r="F2" s="1726"/>
      <c r="G2" s="1726"/>
      <c r="H2" s="1726"/>
      <c r="I2" s="1726"/>
      <c r="J2" s="1726"/>
      <c r="O2" s="80"/>
      <c r="Q2" s="80"/>
    </row>
    <row r="3" spans="2:23" ht="15" customHeight="1">
      <c r="C3" s="54"/>
      <c r="D3" s="54"/>
      <c r="E3" s="54"/>
      <c r="F3" s="81"/>
      <c r="O3" s="80"/>
    </row>
    <row r="4" spans="2:23" ht="15" customHeight="1">
      <c r="C4" s="53"/>
      <c r="D4" s="53"/>
      <c r="E4" s="53"/>
    </row>
    <row r="5" spans="2:23" s="271" customFormat="1" ht="15" customHeight="1">
      <c r="C5" s="760" t="str">
        <f>+'5 - Conta AC + SS'!C5</f>
        <v>Período: janeiro a dezembro</v>
      </c>
      <c r="D5" s="760"/>
      <c r="E5" s="760"/>
      <c r="F5" s="984"/>
      <c r="G5" s="984"/>
      <c r="J5" s="956" t="str">
        <f>IF(Indice_index!$Z$1=1,"€ Milhões","€ Millions")</f>
        <v>€ Milhões</v>
      </c>
      <c r="K5" s="250"/>
      <c r="O5" s="248"/>
      <c r="P5" s="248"/>
      <c r="Q5" s="248"/>
    </row>
    <row r="6" spans="2:23" ht="30.75" customHeight="1">
      <c r="C6" s="763"/>
      <c r="D6" s="686" t="str">
        <f>IF(Indice_index!$Z$1=1,"CGE","Final execution")</f>
        <v>CGE</v>
      </c>
      <c r="E6" s="686" t="str">
        <f>IF(Indice_index!$Z$1=1,"Orçamento Inicial","Budget")</f>
        <v>Orçamento Inicial</v>
      </c>
      <c r="F6" s="1727" t="str">
        <f>IF(Indice_index!$Z$1=1,"Execução Acumulada","Accumulated Execution")</f>
        <v>Execução Acumulada</v>
      </c>
      <c r="G6" s="1727"/>
      <c r="H6" s="985" t="str">
        <f>IF(Indice_index!$Z$1=1,"Grau de Execução (%)","Execution Degree (%)")</f>
        <v>Grau de Execução (%)</v>
      </c>
      <c r="I6" s="1718" t="str">
        <f>IF(Indice_index!$Z$1=1,"Variação Homóloga Acumulada","YOY Change Rate")</f>
        <v>Variação Homóloga Acumulada</v>
      </c>
      <c r="J6" s="1719"/>
      <c r="K6" s="96"/>
      <c r="M6" s="82"/>
      <c r="N6" s="82"/>
      <c r="O6" s="83"/>
      <c r="P6" s="84"/>
      <c r="Q6" s="56"/>
      <c r="R6" s="56"/>
      <c r="S6" s="84"/>
      <c r="T6" s="84"/>
      <c r="U6" s="1728"/>
      <c r="V6" s="1728"/>
      <c r="W6" s="85"/>
    </row>
    <row r="7" spans="2:23" ht="30.75" customHeight="1">
      <c r="C7" s="983"/>
      <c r="D7" s="687" t="s">
        <v>67</v>
      </c>
      <c r="E7" s="687" t="s">
        <v>73</v>
      </c>
      <c r="F7" s="765" t="s">
        <v>67</v>
      </c>
      <c r="G7" s="765" t="s">
        <v>73</v>
      </c>
      <c r="H7" s="767" t="s">
        <v>73</v>
      </c>
      <c r="I7" s="767" t="str">
        <f>IF(Indice_index!$Z$1=1,"Relativa (%)","Relative change (%)")</f>
        <v>Relativa (%)</v>
      </c>
      <c r="J7" s="768" t="str">
        <f>IF(Indice_index!$Z$1=1,"Contributo VHA (p.p.)","YOY Change Rate Contrib. (p.p.)")</f>
        <v>Contributo VHA (p.p.)</v>
      </c>
      <c r="K7" s="96"/>
      <c r="M7" s="82"/>
      <c r="N7" s="82"/>
      <c r="O7" s="83"/>
      <c r="P7" s="84"/>
      <c r="Q7" s="56"/>
      <c r="R7" s="56"/>
      <c r="S7" s="84"/>
      <c r="T7" s="84"/>
      <c r="U7" s="228"/>
      <c r="V7" s="228"/>
      <c r="W7" s="85"/>
    </row>
    <row r="8" spans="2:23" s="86" customFormat="1" ht="4.5" customHeight="1">
      <c r="C8" s="986"/>
      <c r="D8" s="986"/>
      <c r="E8" s="986"/>
      <c r="F8" s="111"/>
      <c r="G8" s="111"/>
      <c r="H8" s="111"/>
      <c r="I8" s="111"/>
      <c r="J8" s="111"/>
      <c r="K8" s="96"/>
      <c r="L8" s="87"/>
    </row>
    <row r="9" spans="2:23" s="271" customFormat="1" ht="15" customHeight="1">
      <c r="C9" s="987" t="str">
        <f>IF(Indice_index!$Z$1=1,"Receita corrente","Current revenue")</f>
        <v>Receita corrente</v>
      </c>
      <c r="D9" s="987">
        <f>SUM(D10:D21)-D10-D15</f>
        <v>33002.916678409994</v>
      </c>
      <c r="E9" s="987">
        <f>SUM(E10:E21)-E10-E15</f>
        <v>35774.327892000001</v>
      </c>
      <c r="F9" s="988">
        <f>SUM(F10:F21)-F10-F15</f>
        <v>33002.916678409994</v>
      </c>
      <c r="G9" s="988">
        <f>SUM(G10:G21)-G10-G15</f>
        <v>36562.763104599995</v>
      </c>
      <c r="H9" s="281">
        <f>IFERROR(IF(G9/E9*100&lt;-500,"-",IF(G9/E9*100&gt;500,"-",G9/E9*100)),"-")</f>
        <v>102.20391341796895</v>
      </c>
      <c r="I9" s="281">
        <f>IF(IFERROR((G9-F9)/F9*100,"")&gt;500,"-",IFERROR((G9-F9)/F9*100,""))</f>
        <v>10.786460060115832</v>
      </c>
      <c r="J9" s="278">
        <f t="shared" ref="J9:J18" si="0">IFERROR((G9-F9)/$F$32*100,"-")</f>
        <v>9.8782185425152083</v>
      </c>
      <c r="K9" s="506"/>
      <c r="L9" s="282"/>
      <c r="M9" s="282"/>
      <c r="N9" s="283"/>
      <c r="O9" s="283"/>
      <c r="P9" s="283"/>
    </row>
    <row r="10" spans="2:23" ht="15" customHeight="1">
      <c r="C10" s="989" t="str">
        <f>IF(Indice_index!$Z$1=1,"Receita Fiscal","Tax")</f>
        <v>Receita Fiscal</v>
      </c>
      <c r="D10" s="220">
        <f>D11+D12</f>
        <v>567.70099941000012</v>
      </c>
      <c r="E10" s="220">
        <f>E11+E12</f>
        <v>636.04550600000005</v>
      </c>
      <c r="F10" s="113">
        <f>F11+F12</f>
        <v>567.70099941000012</v>
      </c>
      <c r="G10" s="113">
        <f>G11+G12</f>
        <v>619.30700002999993</v>
      </c>
      <c r="H10" s="221">
        <f>IFERROR(IF(G10/E10*100&lt;-500,"-",IF(G10/E10*100&gt;500,"-",G10/E10*100)),"-")</f>
        <v>97.368347734226404</v>
      </c>
      <c r="I10" s="221">
        <f t="shared" ref="I10:I28" si="1">IF(IFERROR((G10-F10)/F10*100,"")&gt;500,"-",IFERROR((G10-F10)/F10*100,""))</f>
        <v>9.0903487352731194</v>
      </c>
      <c r="J10" s="221">
        <f t="shared" si="0"/>
        <v>0.14320150118810915</v>
      </c>
      <c r="K10" s="329"/>
      <c r="L10" s="88"/>
      <c r="N10" s="89"/>
      <c r="O10" s="89"/>
      <c r="P10" s="89"/>
      <c r="Q10" s="53"/>
    </row>
    <row r="11" spans="2:23" ht="15" customHeight="1">
      <c r="C11" s="811" t="str">
        <f>IF(Indice_index!$Z$1=1,"Impostos diretos","Direct taxes")</f>
        <v>Impostos diretos</v>
      </c>
      <c r="D11" s="220">
        <v>1.5595100000000001E-3</v>
      </c>
      <c r="E11" s="220">
        <v>0</v>
      </c>
      <c r="F11" s="222">
        <v>1.5595100000000001E-3</v>
      </c>
      <c r="G11" s="222">
        <v>0</v>
      </c>
      <c r="H11" s="221" t="str">
        <f t="shared" ref="H11:H20" si="2">IFERROR(IF(G11/E11*100&lt;-500,"-",IF(G11/E11*100&gt;500,"-",G11/E11*100)),"-")</f>
        <v>-</v>
      </c>
      <c r="I11" s="221">
        <f t="shared" si="1"/>
        <v>-100</v>
      </c>
      <c r="J11" s="221">
        <f t="shared" si="0"/>
        <v>-4.3274846032404852E-6</v>
      </c>
      <c r="K11" s="329"/>
      <c r="L11" s="88"/>
      <c r="M11" s="89"/>
      <c r="N11" s="89"/>
      <c r="O11" s="89"/>
      <c r="P11" s="89"/>
      <c r="Q11" s="53"/>
    </row>
    <row r="12" spans="2:23" ht="15" customHeight="1">
      <c r="C12" s="811" t="str">
        <f>IF(Indice_index!$Z$1=1,"Impostos indiretos","Indirect taxes")</f>
        <v>Impostos indiretos</v>
      </c>
      <c r="D12" s="220">
        <v>567.69943990000013</v>
      </c>
      <c r="E12" s="220">
        <v>636.04550600000005</v>
      </c>
      <c r="F12" s="222">
        <v>567.69943990000013</v>
      </c>
      <c r="G12" s="222">
        <v>619.30700002999993</v>
      </c>
      <c r="H12" s="221">
        <f t="shared" si="2"/>
        <v>97.368347734226404</v>
      </c>
      <c r="I12" s="221">
        <f t="shared" si="1"/>
        <v>9.0906484140781316</v>
      </c>
      <c r="J12" s="221">
        <f t="shared" si="0"/>
        <v>0.14320582867271237</v>
      </c>
      <c r="K12" s="329"/>
      <c r="L12" s="88"/>
      <c r="M12" s="89"/>
      <c r="N12" s="89"/>
      <c r="O12" s="89"/>
      <c r="P12" s="89"/>
      <c r="Q12" s="53"/>
    </row>
    <row r="13" spans="2:23" ht="15" customHeight="1">
      <c r="C13" s="989" t="str">
        <f>IF(Indice_index!$Z$1=1,"Contribuições para Segurança Social, CGA e ADSE","Social security, CGA and ADSE contributions")</f>
        <v>Contribuições para Segurança Social, CGA e ADSE</v>
      </c>
      <c r="D13" s="220">
        <v>4185.2423433499998</v>
      </c>
      <c r="E13" s="220">
        <v>4120.2334600000004</v>
      </c>
      <c r="F13" s="222">
        <v>4185.2423433499998</v>
      </c>
      <c r="G13" s="222">
        <v>4074.8176108399998</v>
      </c>
      <c r="H13" s="221">
        <f t="shared" si="2"/>
        <v>98.897736023919364</v>
      </c>
      <c r="I13" s="221">
        <f t="shared" si="1"/>
        <v>-2.6384310262333002</v>
      </c>
      <c r="J13" s="221">
        <f t="shared" si="0"/>
        <v>-0.30641761178445415</v>
      </c>
      <c r="K13" s="329"/>
      <c r="L13" s="88"/>
      <c r="M13" s="89"/>
      <c r="N13" s="89"/>
      <c r="O13" s="89"/>
      <c r="P13" s="89"/>
      <c r="Q13" s="53"/>
    </row>
    <row r="14" spans="2:23" ht="15" customHeight="1">
      <c r="C14" s="989" t="str">
        <f>IF(Indice_index!$Z$1=1,"Taxas, Multas e Outras Penalidades","Taxes, fines and other penalties")</f>
        <v>Taxas, Multas e Outras Penalidades</v>
      </c>
      <c r="D14" s="220">
        <v>2476.7495912099989</v>
      </c>
      <c r="E14" s="220">
        <v>2259.533868</v>
      </c>
      <c r="F14" s="222">
        <v>2476.7495912099989</v>
      </c>
      <c r="G14" s="222">
        <v>2315.0733060700009</v>
      </c>
      <c r="H14" s="221">
        <f t="shared" si="2"/>
        <v>102.45800423072042</v>
      </c>
      <c r="I14" s="221">
        <f t="shared" si="1"/>
        <v>-6.5277606470104335</v>
      </c>
      <c r="J14" s="221">
        <f t="shared" si="0"/>
        <v>-0.44863555517595921</v>
      </c>
      <c r="K14" s="329"/>
      <c r="L14" s="88"/>
      <c r="M14" s="89"/>
      <c r="N14" s="89"/>
      <c r="O14" s="89"/>
      <c r="P14" s="89"/>
      <c r="Q14" s="53"/>
    </row>
    <row r="15" spans="2:23" ht="15" customHeight="1">
      <c r="C15" s="989" t="str">
        <f>IF(Indice_index!$Z$1=1,"Transferências Correntes","Current transfers")</f>
        <v>Transferências Correntes</v>
      </c>
      <c r="D15" s="220">
        <f>SUM(D16:D19)</f>
        <v>22582.773708600002</v>
      </c>
      <c r="E15" s="220">
        <f>SUM(E16:E19)</f>
        <v>24412.603299999999</v>
      </c>
      <c r="F15" s="220">
        <f>SUM(F16:F19)</f>
        <v>22582.773708600002</v>
      </c>
      <c r="G15" s="220">
        <f>SUM(G16:G19)</f>
        <v>25691.837691969995</v>
      </c>
      <c r="H15" s="221">
        <f t="shared" si="2"/>
        <v>105.24005726161126</v>
      </c>
      <c r="I15" s="221">
        <f t="shared" si="1"/>
        <v>13.767414151548602</v>
      </c>
      <c r="J15" s="221">
        <f t="shared" si="0"/>
        <v>8.6273422539920741</v>
      </c>
      <c r="K15" s="329"/>
      <c r="L15" s="90"/>
      <c r="M15" s="91"/>
      <c r="N15" s="89"/>
      <c r="O15" s="89"/>
      <c r="P15" s="89"/>
      <c r="Q15" s="53"/>
    </row>
    <row r="16" spans="2:23" ht="15" customHeight="1">
      <c r="C16" s="811" t="str">
        <f>IF(Indice_index!$Z$1=1,"Administração Central","Central Administration")</f>
        <v>Administração Central</v>
      </c>
      <c r="D16" s="220">
        <v>19688.556962950002</v>
      </c>
      <c r="E16" s="220">
        <v>20380.660312</v>
      </c>
      <c r="F16" s="113">
        <v>19688.556962950002</v>
      </c>
      <c r="G16" s="113">
        <v>23022.396120219993</v>
      </c>
      <c r="H16" s="221">
        <f t="shared" si="2"/>
        <v>112.96197359545097</v>
      </c>
      <c r="I16" s="221">
        <f t="shared" si="1"/>
        <v>16.932877120164886</v>
      </c>
      <c r="J16" s="221">
        <f t="shared" si="0"/>
        <v>9.2510709278979419</v>
      </c>
      <c r="K16" s="329"/>
      <c r="L16" s="90"/>
      <c r="M16" s="89"/>
      <c r="N16" s="89"/>
      <c r="O16" s="89"/>
      <c r="P16" s="89"/>
      <c r="Q16" s="53"/>
    </row>
    <row r="17" spans="3:17" ht="15" customHeight="1">
      <c r="C17" s="990" t="str">
        <f>IF(Indice_index!$Z$1=1,"Outros subsectores das AP","Other General Government subsectors")</f>
        <v>Outros subsectores das AP</v>
      </c>
      <c r="D17" s="220">
        <v>1953.2891190800001</v>
      </c>
      <c r="E17" s="220">
        <v>1654.644951</v>
      </c>
      <c r="F17" s="222">
        <v>1953.2891190800001</v>
      </c>
      <c r="G17" s="222">
        <v>1588.7689898500003</v>
      </c>
      <c r="H17" s="221">
        <f t="shared" si="2"/>
        <v>96.018725279390779</v>
      </c>
      <c r="I17" s="221">
        <f t="shared" si="1"/>
        <v>-18.661862479512966</v>
      </c>
      <c r="J17" s="221">
        <f t="shared" si="0"/>
        <v>-1.0115069777135486</v>
      </c>
      <c r="K17" s="329"/>
      <c r="L17" s="90"/>
      <c r="M17" s="89"/>
      <c r="N17" s="89"/>
      <c r="O17" s="89"/>
      <c r="P17" s="89"/>
      <c r="Q17" s="53"/>
    </row>
    <row r="18" spans="3:17" ht="15" customHeight="1">
      <c r="C18" s="990" t="str">
        <f>IF(Indice_index!$Z$1=1,"União Europeia","European Union")</f>
        <v>União Europeia</v>
      </c>
      <c r="D18" s="220">
        <v>866.98542303000022</v>
      </c>
      <c r="E18" s="220">
        <v>2278.9706780000001</v>
      </c>
      <c r="F18" s="222">
        <v>866.98542303000022</v>
      </c>
      <c r="G18" s="222">
        <v>1000.9712184800003</v>
      </c>
      <c r="H18" s="221">
        <f t="shared" si="2"/>
        <v>43.922075353704933</v>
      </c>
      <c r="I18" s="221">
        <f t="shared" si="1"/>
        <v>15.454215479394948</v>
      </c>
      <c r="J18" s="221">
        <f t="shared" si="0"/>
        <v>0.37179720993312282</v>
      </c>
      <c r="K18" s="329"/>
      <c r="L18" s="90"/>
      <c r="M18" s="89"/>
      <c r="N18" s="89"/>
      <c r="O18" s="89"/>
      <c r="P18" s="89"/>
      <c r="Q18" s="53"/>
    </row>
    <row r="19" spans="3:17" ht="15" customHeight="1">
      <c r="C19" s="990" t="str">
        <f>IF(Indice_index!$Z$1=1,"Outras transferências","Other transfers")</f>
        <v>Outras transferências</v>
      </c>
      <c r="D19" s="991">
        <v>73.942203540000037</v>
      </c>
      <c r="E19" s="991">
        <v>98.327358999999888</v>
      </c>
      <c r="F19" s="222">
        <v>73.942203540000037</v>
      </c>
      <c r="G19" s="222">
        <v>79.701363420000007</v>
      </c>
      <c r="H19" s="221">
        <f t="shared" si="2"/>
        <v>81.05715868967873</v>
      </c>
      <c r="I19" s="221">
        <f t="shared" si="1"/>
        <v>7.7887317449019156</v>
      </c>
      <c r="J19" s="221">
        <f>IFERROR((G19-F19)/$F$32*100,"-")</f>
        <v>1.5981093874550462E-2</v>
      </c>
      <c r="K19" s="329"/>
      <c r="L19" s="90"/>
      <c r="M19" s="89"/>
      <c r="N19" s="89"/>
      <c r="O19" s="89"/>
      <c r="P19" s="89"/>
      <c r="Q19" s="53"/>
    </row>
    <row r="20" spans="3:17" ht="15" customHeight="1">
      <c r="C20" s="989" t="str">
        <f>IF(Indice_index!$Z$1=1,"Outras Receitas Correntes","Other current revenue")</f>
        <v>Outras Receitas Correntes</v>
      </c>
      <c r="D20" s="220">
        <v>3150.4906862000016</v>
      </c>
      <c r="E20" s="220">
        <v>4338.4852229999997</v>
      </c>
      <c r="F20" s="222">
        <v>3150.4906862000016</v>
      </c>
      <c r="G20" s="222">
        <v>3861.6982101199992</v>
      </c>
      <c r="H20" s="221">
        <f t="shared" si="2"/>
        <v>89.010288421581635</v>
      </c>
      <c r="I20" s="221">
        <f t="shared" si="1"/>
        <v>22.57450012581463</v>
      </c>
      <c r="J20" s="221">
        <f>IFERROR((G20-F20)/$F$32*100,"-")</f>
        <v>1.9735298968731065</v>
      </c>
      <c r="K20" s="329"/>
      <c r="L20" s="90"/>
      <c r="M20" s="89"/>
      <c r="N20" s="89"/>
      <c r="O20" s="89"/>
      <c r="P20" s="89"/>
      <c r="Q20" s="53"/>
    </row>
    <row r="21" spans="3:17" ht="15" customHeight="1">
      <c r="C21" s="803" t="str">
        <f>IF(Indice_index!$Z$1=1,"Diferenças de consolidação","Consolidation differences")</f>
        <v>Diferenças de consolidação</v>
      </c>
      <c r="D21" s="220">
        <v>39.959349639997612</v>
      </c>
      <c r="E21" s="220">
        <v>7.4265349999996033</v>
      </c>
      <c r="F21" s="222">
        <v>39.959349639997612</v>
      </c>
      <c r="G21" s="222">
        <v>2.928557E-2</v>
      </c>
      <c r="H21" s="221"/>
      <c r="I21" s="221"/>
      <c r="J21" s="221"/>
      <c r="K21" s="329"/>
      <c r="L21" s="90"/>
      <c r="M21" s="88"/>
      <c r="N21" s="89"/>
      <c r="O21" s="89"/>
      <c r="P21" s="89"/>
      <c r="Q21" s="53"/>
    </row>
    <row r="22" spans="3:17" s="271" customFormat="1" ht="15" customHeight="1">
      <c r="C22" s="987" t="str">
        <f>IF(Indice_index!$Z$1=1,"Receita de capital","Capital revenue")</f>
        <v>Receita de capital</v>
      </c>
      <c r="D22" s="284">
        <f>SUM(D23:D30)-D24</f>
        <v>3034.4154667399998</v>
      </c>
      <c r="E22" s="284">
        <f>SUM(E23:E30)-E24</f>
        <v>4634.738566</v>
      </c>
      <c r="F22" s="284">
        <f>SUM(F23:F30)-F24</f>
        <v>3034.4154667399998</v>
      </c>
      <c r="G22" s="284">
        <f>SUM(G23:G30)-G24</f>
        <v>2814.5302978099994</v>
      </c>
      <c r="H22" s="284">
        <f t="shared" ref="H22:H29" si="3">IFERROR(IF(G22/E22*100&lt;-500,"-",IF(G22/E22*100&gt;500,"-",G22/E22*100)),"-")</f>
        <v>60.726840526823352</v>
      </c>
      <c r="I22" s="284">
        <f t="shared" si="1"/>
        <v>-7.2463764879972841</v>
      </c>
      <c r="J22" s="284">
        <f t="shared" ref="J22:J29" si="4">IFERROR((G22-F22)/$F$32*100,"-")</f>
        <v>-0.61015939816064657</v>
      </c>
      <c r="K22" s="506"/>
      <c r="L22" s="282"/>
      <c r="M22" s="282"/>
      <c r="N22" s="283"/>
      <c r="O22" s="283"/>
      <c r="P22" s="283"/>
    </row>
    <row r="23" spans="3:17" ht="15" customHeight="1">
      <c r="C23" s="989" t="str">
        <f>IF(Indice_index!$Z$1=1,"Venda de bens de investimento","Sale of investment goods")</f>
        <v>Venda de bens de investimento</v>
      </c>
      <c r="D23" s="222">
        <v>117.54567847</v>
      </c>
      <c r="E23" s="222">
        <v>128.73524900000001</v>
      </c>
      <c r="F23" s="222">
        <v>117.54567847</v>
      </c>
      <c r="G23" s="222">
        <v>105.18832819999999</v>
      </c>
      <c r="H23" s="222">
        <f t="shared" si="3"/>
        <v>81.709033863755508</v>
      </c>
      <c r="I23" s="222">
        <f t="shared" si="1"/>
        <v>-10.512806962234562</v>
      </c>
      <c r="J23" s="222">
        <f t="shared" si="4"/>
        <v>-3.4290413674984262E-2</v>
      </c>
      <c r="K23" s="329"/>
      <c r="L23" s="88"/>
      <c r="M23" s="91"/>
      <c r="N23" s="89"/>
      <c r="O23" s="89"/>
      <c r="P23" s="89"/>
      <c r="Q23" s="53"/>
    </row>
    <row r="24" spans="3:17" ht="15" customHeight="1">
      <c r="C24" s="989" t="str">
        <f>IF(Indice_index!$Z$1=1,"Transferências de capital","Capital transfers")</f>
        <v>Transferências de capital</v>
      </c>
      <c r="D24" s="222">
        <f>SUM(D25:D28)</f>
        <v>2891.6004543500003</v>
      </c>
      <c r="E24" s="222">
        <f>SUM(E25:E28)</f>
        <v>4468.6257059999989</v>
      </c>
      <c r="F24" s="222">
        <f>SUM(F25:F28)</f>
        <v>2891.6004543500003</v>
      </c>
      <c r="G24" s="222">
        <f>SUM(G25:G28)</f>
        <v>2681.2494635600001</v>
      </c>
      <c r="H24" s="222">
        <f t="shared" si="3"/>
        <v>60.00165688435041</v>
      </c>
      <c r="I24" s="222">
        <f t="shared" si="1"/>
        <v>-7.2745524186634132</v>
      </c>
      <c r="J24" s="222">
        <f t="shared" si="4"/>
        <v>-0.58370300537996345</v>
      </c>
      <c r="K24" s="329"/>
      <c r="L24" s="88"/>
      <c r="M24" s="91"/>
      <c r="N24" s="89"/>
      <c r="O24" s="89"/>
      <c r="P24" s="89"/>
      <c r="Q24" s="53"/>
    </row>
    <row r="25" spans="3:17" ht="15" customHeight="1">
      <c r="C25" s="811" t="str">
        <f>IF(Indice_index!$Z$1=1,"Administração Central","Central Administration")</f>
        <v>Administração Central</v>
      </c>
      <c r="D25" s="222">
        <v>1898.9395623700002</v>
      </c>
      <c r="E25" s="222">
        <v>1470.751487</v>
      </c>
      <c r="F25" s="222">
        <v>1898.9395623700002</v>
      </c>
      <c r="G25" s="222">
        <v>1602.5878877499999</v>
      </c>
      <c r="H25" s="222">
        <f t="shared" si="3"/>
        <v>108.9638801602653</v>
      </c>
      <c r="I25" s="222">
        <f t="shared" si="1"/>
        <v>-15.606166751833539</v>
      </c>
      <c r="J25" s="222">
        <f t="shared" si="4"/>
        <v>-0.82234631971746586</v>
      </c>
      <c r="K25" s="329"/>
      <c r="L25" s="88"/>
      <c r="M25" s="89"/>
      <c r="N25" s="89"/>
      <c r="O25" s="89"/>
      <c r="P25" s="89"/>
      <c r="Q25" s="53"/>
    </row>
    <row r="26" spans="3:17" ht="15" customHeight="1">
      <c r="C26" s="811" t="str">
        <f>IF(Indice_index!$Z$1=1,"Outros subsectores das AP","Other General Government subsectors")</f>
        <v>Outros subsectores das AP</v>
      </c>
      <c r="D26" s="222">
        <v>10.450267329999999</v>
      </c>
      <c r="E26" s="222">
        <v>35.408985000000001</v>
      </c>
      <c r="F26" s="222">
        <v>10.450267329999999</v>
      </c>
      <c r="G26" s="222">
        <v>11.464618399999999</v>
      </c>
      <c r="H26" s="222">
        <f t="shared" si="3"/>
        <v>32.377709781853383</v>
      </c>
      <c r="I26" s="222">
        <f t="shared" si="1"/>
        <v>9.7064604949201829</v>
      </c>
      <c r="J26" s="222">
        <f t="shared" si="4"/>
        <v>2.81472298202994E-3</v>
      </c>
      <c r="K26" s="329"/>
      <c r="L26" s="88"/>
      <c r="M26" s="92"/>
      <c r="N26" s="92"/>
      <c r="O26" s="89"/>
      <c r="P26" s="89"/>
      <c r="Q26" s="53"/>
    </row>
    <row r="27" spans="3:17" ht="15" customHeight="1">
      <c r="C27" s="811" t="str">
        <f>IF(Indice_index!$Z$1=1,"União Europeia","European Union")</f>
        <v>União Europeia</v>
      </c>
      <c r="D27" s="222">
        <v>765.82299568000008</v>
      </c>
      <c r="E27" s="222">
        <v>2726.0498779999998</v>
      </c>
      <c r="F27" s="222">
        <v>765.82299568000008</v>
      </c>
      <c r="G27" s="222">
        <v>816.20249964999971</v>
      </c>
      <c r="H27" s="222">
        <f t="shared" si="3"/>
        <v>29.940849807517711</v>
      </c>
      <c r="I27" s="222">
        <f t="shared" si="1"/>
        <v>6.5784788722968512</v>
      </c>
      <c r="J27" s="222">
        <f t="shared" si="4"/>
        <v>0.13979809539474983</v>
      </c>
      <c r="K27" s="329"/>
      <c r="L27" s="88"/>
      <c r="M27" s="93"/>
      <c r="N27" s="89"/>
      <c r="O27" s="89"/>
      <c r="P27" s="89"/>
      <c r="Q27" s="53"/>
    </row>
    <row r="28" spans="3:17" ht="15" customHeight="1">
      <c r="C28" s="811" t="str">
        <f>IF(Indice_index!$Z$1=1,"Outras transferências","Other transfers")</f>
        <v>Outras transferências</v>
      </c>
      <c r="D28" s="222">
        <v>216.38762896999992</v>
      </c>
      <c r="E28" s="222">
        <v>236.41535599999997</v>
      </c>
      <c r="F28" s="222">
        <v>216.38762896999992</v>
      </c>
      <c r="G28" s="222">
        <v>250.99445776000039</v>
      </c>
      <c r="H28" s="222">
        <f t="shared" si="3"/>
        <v>106.16673214746694</v>
      </c>
      <c r="I28" s="222">
        <f t="shared" si="1"/>
        <v>15.99297933746405</v>
      </c>
      <c r="J28" s="222">
        <f t="shared" si="4"/>
        <v>9.6030495960722634E-2</v>
      </c>
      <c r="K28" s="329"/>
      <c r="L28" s="88"/>
      <c r="M28" s="89"/>
      <c r="N28" s="89"/>
      <c r="O28" s="89"/>
      <c r="P28" s="89"/>
      <c r="Q28" s="53"/>
    </row>
    <row r="29" spans="3:17" ht="15" customHeight="1">
      <c r="C29" s="989" t="str">
        <f>IF(Indice_index!$Z$1=1,"Outras Receitas de Capital","Other capital revenue")</f>
        <v>Outras Receitas de Capital</v>
      </c>
      <c r="D29" s="222">
        <v>25.269333919999998</v>
      </c>
      <c r="E29" s="222">
        <v>37.377611000000002</v>
      </c>
      <c r="F29" s="222">
        <v>25.269333919999998</v>
      </c>
      <c r="G29" s="222">
        <v>28.092506050000004</v>
      </c>
      <c r="H29" s="222">
        <f t="shared" si="3"/>
        <v>75.158645238188186</v>
      </c>
      <c r="I29" s="222">
        <f>IF(IFERROR((G29-F29)/F29*100,"")&gt;500,"-",IFERROR((G29-F29)/F29*100,""))</f>
        <v>11.172325075674202</v>
      </c>
      <c r="J29" s="222">
        <f t="shared" si="4"/>
        <v>7.8340208943018467E-3</v>
      </c>
      <c r="K29" s="329"/>
      <c r="L29" s="88"/>
      <c r="M29" s="89"/>
      <c r="N29" s="89"/>
      <c r="O29" s="89"/>
      <c r="P29" s="89"/>
      <c r="Q29" s="53"/>
    </row>
    <row r="30" spans="3:17" ht="15" customHeight="1">
      <c r="C30" s="803" t="str">
        <f>IF(Indice_index!$Z$1=1,"Diferenças de consolidação","Consolidation differences")</f>
        <v>Diferenças de consolidação</v>
      </c>
      <c r="D30" s="222">
        <v>0</v>
      </c>
      <c r="E30" s="222">
        <v>0</v>
      </c>
      <c r="F30" s="222">
        <v>0</v>
      </c>
      <c r="G30" s="222">
        <v>0</v>
      </c>
      <c r="H30" s="222"/>
      <c r="I30" s="222"/>
      <c r="J30" s="222"/>
      <c r="K30" s="329"/>
      <c r="L30" s="88"/>
      <c r="M30" s="88"/>
      <c r="N30" s="89"/>
      <c r="O30" s="89"/>
      <c r="P30" s="89"/>
      <c r="Q30" s="53"/>
    </row>
    <row r="31" spans="3:17" ht="4.5" customHeight="1">
      <c r="C31" s="811"/>
      <c r="D31" s="811"/>
      <c r="E31" s="811"/>
      <c r="F31" s="223"/>
      <c r="G31" s="223"/>
      <c r="H31" s="223"/>
      <c r="I31" s="223"/>
      <c r="J31" s="223"/>
      <c r="K31" s="329"/>
      <c r="L31" s="88"/>
      <c r="M31" s="94"/>
      <c r="N31" s="89"/>
      <c r="O31" s="89"/>
      <c r="P31" s="89"/>
      <c r="Q31" s="53"/>
    </row>
    <row r="32" spans="3:17" s="271" customFormat="1" ht="15" customHeight="1">
      <c r="C32" s="992" t="str">
        <f>IF(Indice_index!$Z$1=1,"Receita efetiva","Effective revenue")</f>
        <v>Receita efetiva</v>
      </c>
      <c r="D32" s="992">
        <f>D9+D22</f>
        <v>36037.332145149994</v>
      </c>
      <c r="E32" s="992">
        <f>E9+E22</f>
        <v>40409.066458000001</v>
      </c>
      <c r="F32" s="993">
        <f>F9+F22</f>
        <v>36037.332145149994</v>
      </c>
      <c r="G32" s="993">
        <f>G9+G22</f>
        <v>39377.293402409996</v>
      </c>
      <c r="H32" s="993">
        <f>IFERROR(IF(G32/E32*100&lt;-500,"-",IF(G32/E32*100&gt;500,"-",G32/E32*100)),"-")</f>
        <v>97.446679307322285</v>
      </c>
      <c r="I32" s="993">
        <f t="shared" ref="I32" si="5">IFERROR(IF(F32=0,"-",(G32-F32)/F32*100),"-")</f>
        <v>9.2680591443545666</v>
      </c>
      <c r="J32" s="993"/>
      <c r="K32" s="506"/>
      <c r="L32" s="282"/>
      <c r="M32" s="285"/>
      <c r="N32" s="283"/>
      <c r="O32" s="283"/>
      <c r="P32" s="283"/>
    </row>
    <row r="33" spans="3:17" ht="4.5" customHeight="1">
      <c r="C33" s="811"/>
      <c r="D33" s="811"/>
      <c r="E33" s="811"/>
      <c r="F33" s="812"/>
      <c r="G33" s="812"/>
      <c r="H33" s="812"/>
      <c r="I33" s="812"/>
      <c r="J33" s="994"/>
      <c r="K33" s="329"/>
      <c r="L33" s="88"/>
      <c r="M33" s="89"/>
      <c r="N33" s="89"/>
      <c r="O33" s="89"/>
      <c r="P33" s="89"/>
      <c r="Q33" s="53"/>
    </row>
    <row r="34" spans="3:17" s="271" customFormat="1" ht="15" customHeight="1">
      <c r="C34" s="987" t="str">
        <f>IF(Indice_index!$Z$1=1,"Despesa corrente","Current Expenditure")</f>
        <v>Despesa corrente</v>
      </c>
      <c r="D34" s="987">
        <f>SUM(D35:D48)-D35-D41</f>
        <v>32992.402133680058</v>
      </c>
      <c r="E34" s="987">
        <f>SUM(E35:E48)-E35-E41</f>
        <v>34862.401181999994</v>
      </c>
      <c r="F34" s="281">
        <f>SUM(F35:F48)-F35-F41</f>
        <v>32992.402133680058</v>
      </c>
      <c r="G34" s="281">
        <f>SUM(G35:G48)-G35-G41</f>
        <v>36620.732076059983</v>
      </c>
      <c r="H34" s="281">
        <f t="shared" ref="H34:H47" si="6">IFERROR(IF(G34/E34*100&lt;-500,"-",IF(G34/E34*100&gt;500,"-",G34/E34*100)),"-")</f>
        <v>105.04363105937706</v>
      </c>
      <c r="I34" s="281">
        <f t="shared" ref="I34:I56" si="7">IF(IFERROR((G34-F34)/F34*100,"")&gt;500,"-",IFERROR((G34-F34)/F34*100,""))</f>
        <v>10.997471259226591</v>
      </c>
      <c r="J34" s="281">
        <f>IFERROR((G34-F34)/$F$59*100,"-")</f>
        <v>9.7565318782687473</v>
      </c>
      <c r="K34" s="506"/>
      <c r="L34" s="349"/>
      <c r="M34" s="282"/>
      <c r="N34" s="283"/>
      <c r="O34" s="283"/>
      <c r="P34" s="283"/>
    </row>
    <row r="35" spans="3:17" ht="15" customHeight="1">
      <c r="C35" s="989" t="str">
        <f>IF(Indice_index!$Z$1=1,"Despesas com o pessoal","Employees")</f>
        <v>Despesas com o pessoal</v>
      </c>
      <c r="D35" s="222">
        <f t="shared" ref="D35:E35" si="8">SUM(D36:D38)</f>
        <v>8526.7632711000097</v>
      </c>
      <c r="E35" s="222">
        <f t="shared" si="8"/>
        <v>8939.8323110000001</v>
      </c>
      <c r="F35" s="222">
        <f t="shared" ref="F35" si="9">SUM(F36:F38)</f>
        <v>8526.7632711000097</v>
      </c>
      <c r="G35" s="222">
        <f t="shared" ref="G35" si="10">SUM(G36:G38)</f>
        <v>8809.8256775699974</v>
      </c>
      <c r="H35" s="222">
        <f t="shared" si="6"/>
        <v>98.545759820684381</v>
      </c>
      <c r="I35" s="222">
        <f t="shared" si="7"/>
        <v>3.3196935046781331</v>
      </c>
      <c r="J35" s="222">
        <f t="shared" ref="J35:J47" si="11">IFERROR((G35-F35)/$F$59*100,"-")</f>
        <v>0.76115111804094038</v>
      </c>
      <c r="K35" s="329"/>
      <c r="L35" s="350"/>
      <c r="M35" s="89"/>
      <c r="N35" s="89"/>
      <c r="O35" s="89"/>
      <c r="P35" s="89"/>
      <c r="Q35" s="53"/>
    </row>
    <row r="36" spans="3:17" ht="15" customHeight="1">
      <c r="C36" s="811" t="str">
        <f>IF(Indice_index!$Z$1=1,"Remunerações Certas e Permanentes","Certain and permanent wages")</f>
        <v>Remunerações Certas e Permanentes</v>
      </c>
      <c r="D36" s="222">
        <v>5947.1170754600089</v>
      </c>
      <c r="E36" s="222">
        <v>6322.896401</v>
      </c>
      <c r="F36" s="222">
        <v>5947.1170754600089</v>
      </c>
      <c r="G36" s="222">
        <v>6155.3689434699972</v>
      </c>
      <c r="H36" s="222">
        <f t="shared" si="6"/>
        <v>97.350463349304476</v>
      </c>
      <c r="I36" s="222">
        <f t="shared" si="7"/>
        <v>3.5017280703840878</v>
      </c>
      <c r="J36" s="222">
        <f t="shared" si="11"/>
        <v>0.55998655613324422</v>
      </c>
      <c r="K36" s="329"/>
      <c r="L36" s="350"/>
      <c r="M36" s="89"/>
      <c r="N36" s="89"/>
      <c r="O36" s="89"/>
      <c r="P36" s="89"/>
      <c r="Q36" s="53"/>
    </row>
    <row r="37" spans="3:17" ht="15" customHeight="1">
      <c r="C37" s="811" t="str">
        <f>IF(Indice_index!$Z$1=1,"Abonos Variáveis ou Eventuais","Variable or contingent bonuses")</f>
        <v>Abonos Variáveis ou Eventuais</v>
      </c>
      <c r="D37" s="222">
        <v>945.06633174000035</v>
      </c>
      <c r="E37" s="222">
        <v>913.04404199999999</v>
      </c>
      <c r="F37" s="222">
        <v>945.06633174000035</v>
      </c>
      <c r="G37" s="222">
        <v>975.44949464000024</v>
      </c>
      <c r="H37" s="222">
        <f t="shared" si="6"/>
        <v>106.83487868814112</v>
      </c>
      <c r="I37" s="222">
        <f t="shared" si="7"/>
        <v>3.2149238502719912</v>
      </c>
      <c r="J37" s="222">
        <f t="shared" si="11"/>
        <v>8.1699928645971337E-2</v>
      </c>
      <c r="K37" s="329"/>
      <c r="L37" s="350"/>
      <c r="M37" s="89"/>
      <c r="N37" s="89"/>
      <c r="O37" s="89"/>
      <c r="P37" s="89"/>
      <c r="Q37" s="53"/>
    </row>
    <row r="38" spans="3:17" ht="15" customHeight="1">
      <c r="C38" s="811" t="str">
        <f>IF(Indice_index!$Z$1=1,"Segurança social","Social security")</f>
        <v>Segurança social</v>
      </c>
      <c r="D38" s="222">
        <v>1634.5798639000004</v>
      </c>
      <c r="E38" s="222">
        <v>1703.8918679999999</v>
      </c>
      <c r="F38" s="222">
        <v>1634.5798639000004</v>
      </c>
      <c r="G38" s="222">
        <v>1679.0072394600006</v>
      </c>
      <c r="H38" s="222">
        <f t="shared" si="6"/>
        <v>98.539541797965825</v>
      </c>
      <c r="I38" s="222">
        <f t="shared" si="7"/>
        <v>2.7179690965970544</v>
      </c>
      <c r="J38" s="222">
        <f t="shared" si="11"/>
        <v>0.1194646332617267</v>
      </c>
      <c r="K38" s="329"/>
      <c r="L38" s="350"/>
      <c r="M38" s="89"/>
      <c r="N38" s="89"/>
      <c r="O38" s="89"/>
      <c r="P38" s="89"/>
      <c r="Q38" s="53"/>
    </row>
    <row r="39" spans="3:17" ht="15" customHeight="1">
      <c r="C39" s="989" t="str">
        <f>IF(Indice_index!$Z$1=1,"Aquisição de bens e serviços","Purchase of goods and services")</f>
        <v>Aquisição de bens e serviços</v>
      </c>
      <c r="D39" s="222">
        <v>9578.1575329900443</v>
      </c>
      <c r="E39" s="222">
        <v>10487.619370999999</v>
      </c>
      <c r="F39" s="222">
        <v>9578.1575329900443</v>
      </c>
      <c r="G39" s="222">
        <v>10700.738962629985</v>
      </c>
      <c r="H39" s="222">
        <f t="shared" si="6"/>
        <v>102.03210646850225</v>
      </c>
      <c r="I39" s="222">
        <f t="shared" si="7"/>
        <v>11.72022307811741</v>
      </c>
      <c r="J39" s="222">
        <f t="shared" si="11"/>
        <v>3.0186068186099204</v>
      </c>
      <c r="K39" s="329"/>
      <c r="L39" s="350"/>
      <c r="M39" s="89"/>
      <c r="N39" s="89"/>
      <c r="O39" s="89"/>
      <c r="P39" s="89"/>
      <c r="Q39" s="53"/>
    </row>
    <row r="40" spans="3:17" ht="15" customHeight="1">
      <c r="C40" s="989" t="str">
        <f>IF(Indice_index!$Z$1=1,"Juros e outros encargos","Interests")</f>
        <v>Juros e outros encargos</v>
      </c>
      <c r="D40" s="222">
        <v>632.00897064999992</v>
      </c>
      <c r="E40" s="222">
        <v>509.19108900000003</v>
      </c>
      <c r="F40" s="222">
        <v>632.00897064999992</v>
      </c>
      <c r="G40" s="222">
        <v>320.94536120999993</v>
      </c>
      <c r="H40" s="222">
        <f t="shared" si="6"/>
        <v>63.030435556188593</v>
      </c>
      <c r="I40" s="222">
        <f t="shared" si="7"/>
        <v>-49.218226937519823</v>
      </c>
      <c r="J40" s="222">
        <f t="shared" si="11"/>
        <v>-0.83644598751127353</v>
      </c>
      <c r="K40" s="329"/>
      <c r="L40" s="350"/>
      <c r="M40" s="89"/>
      <c r="N40" s="89"/>
      <c r="O40" s="89"/>
      <c r="P40" s="89"/>
      <c r="Q40" s="53"/>
    </row>
    <row r="41" spans="3:17" ht="15" customHeight="1">
      <c r="C41" s="989" t="str">
        <f>IF(Indice_index!$Z$1=1,"Transferências correntes","Current transfers")</f>
        <v>Transferências correntes</v>
      </c>
      <c r="D41" s="113">
        <f>SUM(D42:D45)</f>
        <v>13047.552430199996</v>
      </c>
      <c r="E41" s="113">
        <f>SUM(E42:E45)</f>
        <v>13186.266441</v>
      </c>
      <c r="F41" s="113">
        <f>SUM(F42:F45)</f>
        <v>13047.552430199996</v>
      </c>
      <c r="G41" s="113">
        <f>SUM(G42:G45)</f>
        <v>15553.86991281</v>
      </c>
      <c r="H41" s="222">
        <f t="shared" si="6"/>
        <v>117.95507077309178</v>
      </c>
      <c r="I41" s="222">
        <f t="shared" si="7"/>
        <v>19.209100680131058</v>
      </c>
      <c r="J41" s="222">
        <f t="shared" si="11"/>
        <v>6.7394550122162746</v>
      </c>
      <c r="K41" s="329"/>
      <c r="L41" s="350"/>
      <c r="M41" s="91"/>
      <c r="N41" s="89"/>
      <c r="O41" s="89"/>
      <c r="P41" s="89"/>
      <c r="Q41" s="53"/>
    </row>
    <row r="42" spans="3:17" ht="15" customHeight="1">
      <c r="C42" s="811" t="str">
        <f>IF(Indice_index!$Z$1=1,"Administração Central","Central Administration")</f>
        <v>Administração Central</v>
      </c>
      <c r="D42" s="113">
        <v>548.32511082999997</v>
      </c>
      <c r="E42" s="113">
        <v>554.51140299999997</v>
      </c>
      <c r="F42" s="222">
        <v>548.32511082999997</v>
      </c>
      <c r="G42" s="222">
        <v>490.23174285999869</v>
      </c>
      <c r="H42" s="222">
        <f t="shared" si="6"/>
        <v>88.407874068551607</v>
      </c>
      <c r="I42" s="222">
        <f t="shared" si="7"/>
        <v>-10.594694064268792</v>
      </c>
      <c r="J42" s="222">
        <f t="shared" si="11"/>
        <v>-0.15621230855966212</v>
      </c>
      <c r="K42" s="329"/>
      <c r="L42" s="350"/>
      <c r="M42" s="89"/>
      <c r="N42" s="89"/>
      <c r="O42" s="89"/>
      <c r="P42" s="89"/>
      <c r="Q42" s="53"/>
    </row>
    <row r="43" spans="3:17" ht="15" customHeight="1">
      <c r="C43" s="811" t="str">
        <f>IF(Indice_index!$Z$1=1,"Outros subsectores das AP","Other General Government subsectors")</f>
        <v>Outros subsectores das AP</v>
      </c>
      <c r="D43" s="222">
        <v>662.19723092000027</v>
      </c>
      <c r="E43" s="222">
        <v>539.51204500000006</v>
      </c>
      <c r="F43" s="222">
        <v>662.19723092000027</v>
      </c>
      <c r="G43" s="222">
        <v>680.55542832000015</v>
      </c>
      <c r="H43" s="222">
        <f t="shared" si="6"/>
        <v>126.14276819714007</v>
      </c>
      <c r="I43" s="222">
        <f t="shared" si="7"/>
        <v>2.7723156399332218</v>
      </c>
      <c r="J43" s="222">
        <f t="shared" si="11"/>
        <v>4.9364953299468772E-2</v>
      </c>
      <c r="K43" s="329"/>
      <c r="L43" s="350"/>
      <c r="M43" s="89"/>
      <c r="N43" s="89"/>
      <c r="O43" s="89"/>
      <c r="P43" s="89"/>
      <c r="Q43" s="53"/>
    </row>
    <row r="44" spans="3:17" ht="15" customHeight="1">
      <c r="C44" s="811" t="str">
        <f>IF(Indice_index!$Z$1=1,"União Europeia","European Union")</f>
        <v>União Europeia</v>
      </c>
      <c r="D44" s="222">
        <v>34.313346190000004</v>
      </c>
      <c r="E44" s="222">
        <v>26.985104</v>
      </c>
      <c r="F44" s="222">
        <v>34.313346190000004</v>
      </c>
      <c r="G44" s="222">
        <v>58.600465650000018</v>
      </c>
      <c r="H44" s="222">
        <f t="shared" si="6"/>
        <v>217.15856885339412</v>
      </c>
      <c r="I44" s="222">
        <f t="shared" si="7"/>
        <v>70.780387682149311</v>
      </c>
      <c r="J44" s="222">
        <f t="shared" si="11"/>
        <v>6.5307747367479976E-2</v>
      </c>
      <c r="K44" s="329"/>
      <c r="L44" s="350"/>
      <c r="M44" s="89"/>
      <c r="N44" s="89"/>
      <c r="O44" s="89"/>
      <c r="P44" s="89"/>
      <c r="Q44" s="53"/>
    </row>
    <row r="45" spans="3:17" ht="15" customHeight="1">
      <c r="C45" s="811" t="str">
        <f>IF(Indice_index!$Z$1=1,"Outras transferências","Other transfers")</f>
        <v>Outras transferências</v>
      </c>
      <c r="D45" s="222">
        <v>11802.716742259996</v>
      </c>
      <c r="E45" s="222">
        <v>12065.257889</v>
      </c>
      <c r="F45" s="222">
        <v>11802.716742259996</v>
      </c>
      <c r="G45" s="222">
        <v>14324.482275980001</v>
      </c>
      <c r="H45" s="222">
        <f t="shared" si="6"/>
        <v>118.72504017539281</v>
      </c>
      <c r="I45" s="222">
        <f t="shared" si="7"/>
        <v>21.365975213916172</v>
      </c>
      <c r="J45" s="222">
        <f t="shared" si="11"/>
        <v>6.7809946201089879</v>
      </c>
      <c r="K45" s="329"/>
      <c r="L45" s="350"/>
      <c r="M45" s="89"/>
      <c r="N45" s="89"/>
      <c r="O45" s="89"/>
      <c r="P45" s="89"/>
      <c r="Q45" s="53"/>
    </row>
    <row r="46" spans="3:17" ht="15" customHeight="1">
      <c r="C46" s="989" t="str">
        <f>IF(Indice_index!$Z$1=1,"Subsídios","Subsidies")</f>
        <v>Subsídios</v>
      </c>
      <c r="D46" s="222">
        <v>966.79276689000005</v>
      </c>
      <c r="E46" s="222">
        <v>695.52698499999997</v>
      </c>
      <c r="F46" s="222">
        <v>966.79276689000005</v>
      </c>
      <c r="G46" s="222">
        <v>680.39569660000018</v>
      </c>
      <c r="H46" s="222">
        <f t="shared" si="6"/>
        <v>97.824485789002168</v>
      </c>
      <c r="I46" s="222">
        <f t="shared" si="7"/>
        <v>-29.623418802696278</v>
      </c>
      <c r="J46" s="222">
        <f t="shared" si="11"/>
        <v>-0.77011798554745969</v>
      </c>
      <c r="K46" s="329"/>
      <c r="L46" s="350"/>
      <c r="M46" s="89"/>
      <c r="N46" s="89"/>
      <c r="O46" s="89"/>
      <c r="P46" s="89"/>
      <c r="Q46" s="53"/>
    </row>
    <row r="47" spans="3:17" ht="15" customHeight="1">
      <c r="C47" s="989" t="str">
        <f>IF(Indice_index!$Z$1=1,"Outras despesas correntes","Other current expenditure")</f>
        <v>Outras despesas correntes</v>
      </c>
      <c r="D47" s="222">
        <v>234.45030436999991</v>
      </c>
      <c r="E47" s="222">
        <v>1043.964984</v>
      </c>
      <c r="F47" s="222">
        <v>234.45030436999991</v>
      </c>
      <c r="G47" s="222">
        <v>523.21361551999996</v>
      </c>
      <c r="H47" s="222">
        <f t="shared" si="6"/>
        <v>50.117927664133219</v>
      </c>
      <c r="I47" s="222">
        <f t="shared" si="7"/>
        <v>123.16610632088818</v>
      </c>
      <c r="J47" s="222">
        <f t="shared" si="11"/>
        <v>0.7764807763489795</v>
      </c>
      <c r="K47" s="329"/>
      <c r="L47" s="350"/>
      <c r="M47" s="89"/>
      <c r="N47" s="89"/>
      <c r="O47" s="89"/>
      <c r="P47" s="89"/>
      <c r="Q47" s="53"/>
    </row>
    <row r="48" spans="3:17" ht="15" customHeight="1">
      <c r="C48" s="803" t="str">
        <f>IF(Indice_index!$Z$1=1,"Diferenças de consolidação","Consolidation differences")</f>
        <v>Diferenças de consolidação</v>
      </c>
      <c r="D48" s="222">
        <v>6.6768574800071292</v>
      </c>
      <c r="E48" s="222">
        <v>9.999994290410541E-7</v>
      </c>
      <c r="F48" s="222">
        <v>6.6768574800071292</v>
      </c>
      <c r="G48" s="222">
        <v>31.742849719999676</v>
      </c>
      <c r="H48" s="222"/>
      <c r="I48" s="222"/>
      <c r="J48" s="222"/>
      <c r="K48" s="329"/>
      <c r="L48" s="350"/>
      <c r="M48" s="88"/>
      <c r="N48" s="89"/>
      <c r="O48" s="89"/>
      <c r="P48" s="89"/>
      <c r="Q48" s="53"/>
    </row>
    <row r="49" spans="3:17" s="271" customFormat="1" ht="15" customHeight="1">
      <c r="C49" s="987" t="str">
        <f>IF(Indice_index!$Z$1=1,"Despesa de capital","Capital expenditure")</f>
        <v>Despesa de capital</v>
      </c>
      <c r="D49" s="281">
        <f>SUM(D50:D57)-D51</f>
        <v>4196.3242257499969</v>
      </c>
      <c r="E49" s="281">
        <f>SUM(E50:E57)-E51</f>
        <v>6456.354714000001</v>
      </c>
      <c r="F49" s="281">
        <f>SUM(F50:F57)-F51</f>
        <v>4196.3242257499969</v>
      </c>
      <c r="G49" s="281">
        <f>SUM(G50:G57)-G51</f>
        <v>4518.4730881200021</v>
      </c>
      <c r="H49" s="281">
        <f t="shared" ref="H49:H56" si="12">IFERROR(IF(G49/E49*100&lt;-500,"-",IF(G49/E49*100&gt;500,"-",G49/E49*100)),"-")</f>
        <v>69.984895320607393</v>
      </c>
      <c r="I49" s="281">
        <f t="shared" si="7"/>
        <v>7.6769297375354375</v>
      </c>
      <c r="J49" s="281">
        <f t="shared" ref="J49:J56" si="13">IFERROR((G49-F49)/$F$59*100,"-")</f>
        <v>0.86625408801696424</v>
      </c>
      <c r="K49" s="506"/>
      <c r="L49" s="349"/>
      <c r="M49" s="282"/>
      <c r="N49" s="283"/>
      <c r="O49" s="283"/>
      <c r="P49" s="283"/>
    </row>
    <row r="50" spans="3:17" ht="15" customHeight="1">
      <c r="C50" s="989" t="str">
        <f>IF(Indice_index!$Z$1=1,"Investimento","Investment")</f>
        <v>Investimento</v>
      </c>
      <c r="D50" s="222">
        <v>2743.4523255899981</v>
      </c>
      <c r="E50" s="222">
        <v>4535.5566200000003</v>
      </c>
      <c r="F50" s="222">
        <v>2743.4523255899981</v>
      </c>
      <c r="G50" s="222">
        <v>3010.8888293900018</v>
      </c>
      <c r="H50" s="222">
        <f t="shared" si="12"/>
        <v>66.384108537267068</v>
      </c>
      <c r="I50" s="222">
        <f t="shared" si="7"/>
        <v>9.7481739086714292</v>
      </c>
      <c r="J50" s="222">
        <f t="shared" si="13"/>
        <v>0.71913326962376345</v>
      </c>
      <c r="K50" s="329"/>
      <c r="L50" s="350"/>
      <c r="M50" s="89"/>
      <c r="N50" s="89"/>
      <c r="O50" s="89"/>
      <c r="P50" s="89"/>
      <c r="Q50" s="53"/>
    </row>
    <row r="51" spans="3:17" ht="15" customHeight="1">
      <c r="C51" s="989" t="str">
        <f>IF(Indice_index!$Z$1=1,"Transferências de capital","Capital transfers")</f>
        <v>Transferências de capital</v>
      </c>
      <c r="D51" s="222">
        <f>SUM(D52:D55)</f>
        <v>1285.30045563</v>
      </c>
      <c r="E51" s="222">
        <f>SUM(E52:E55)</f>
        <v>1702.7385810000001</v>
      </c>
      <c r="F51" s="222">
        <f>SUM(F52:F55)</f>
        <v>1285.30045563</v>
      </c>
      <c r="G51" s="222">
        <f>SUM(G52:G55)</f>
        <v>1150.7634322599997</v>
      </c>
      <c r="H51" s="222">
        <f t="shared" si="12"/>
        <v>67.583094968352015</v>
      </c>
      <c r="I51" s="222">
        <f t="shared" si="7"/>
        <v>-10.467359813084007</v>
      </c>
      <c r="J51" s="222">
        <f t="shared" si="13"/>
        <v>-0.36176830061265414</v>
      </c>
      <c r="K51" s="329"/>
      <c r="L51" s="350"/>
      <c r="M51" s="91"/>
      <c r="N51" s="89"/>
      <c r="O51" s="89"/>
      <c r="P51" s="89"/>
      <c r="Q51" s="53"/>
    </row>
    <row r="52" spans="3:17" ht="15" customHeight="1">
      <c r="C52" s="811" t="str">
        <f>IF(Indice_index!$Z$1=1,"Administração Central","Central Administration")</f>
        <v>Administração Central</v>
      </c>
      <c r="D52" s="113">
        <v>13.090126160000001</v>
      </c>
      <c r="E52" s="113">
        <v>38.736918000000003</v>
      </c>
      <c r="F52" s="222">
        <v>13.090126160000001</v>
      </c>
      <c r="G52" s="222">
        <v>15.919190119999861</v>
      </c>
      <c r="H52" s="222">
        <f t="shared" si="12"/>
        <v>41.095654847915</v>
      </c>
      <c r="I52" s="222">
        <f t="shared" si="7"/>
        <v>21.612197815516399</v>
      </c>
      <c r="J52" s="222">
        <f t="shared" si="13"/>
        <v>7.6073160792248708E-3</v>
      </c>
      <c r="K52" s="329"/>
      <c r="L52" s="350"/>
      <c r="M52" s="89"/>
      <c r="N52" s="89"/>
      <c r="O52" s="89"/>
      <c r="P52" s="89"/>
      <c r="Q52" s="53"/>
    </row>
    <row r="53" spans="3:17" ht="15" customHeight="1">
      <c r="C53" s="811" t="str">
        <f>IF(Indice_index!$Z$1=1,"Outros subsectores das AP","Other General Government subsectors")</f>
        <v>Outros subsectores das AP</v>
      </c>
      <c r="D53" s="222">
        <v>43.079640700000013</v>
      </c>
      <c r="E53" s="222">
        <v>171.27997500000001</v>
      </c>
      <c r="F53" s="222">
        <v>43.079640700000013</v>
      </c>
      <c r="G53" s="222">
        <v>71.512738330000005</v>
      </c>
      <c r="H53" s="222">
        <f t="shared" si="12"/>
        <v>41.75195514245025</v>
      </c>
      <c r="I53" s="222">
        <f t="shared" si="7"/>
        <v>66.001241347400523</v>
      </c>
      <c r="J53" s="222">
        <f t="shared" si="13"/>
        <v>7.6456228576352217E-2</v>
      </c>
      <c r="K53" s="329"/>
      <c r="L53" s="351"/>
      <c r="M53" s="89"/>
      <c r="N53" s="89"/>
      <c r="O53" s="89"/>
      <c r="P53" s="89"/>
      <c r="Q53" s="53"/>
    </row>
    <row r="54" spans="3:17" ht="15" customHeight="1">
      <c r="C54" s="811" t="str">
        <f>IF(Indice_index!$Z$1=1,"União Europeia","European Union")</f>
        <v>União Europeia</v>
      </c>
      <c r="D54" s="222">
        <v>140.22973721</v>
      </c>
      <c r="E54" s="222">
        <v>135.72310200000001</v>
      </c>
      <c r="F54" s="222">
        <v>140.22973721</v>
      </c>
      <c r="G54" s="222">
        <v>167.01983317999998</v>
      </c>
      <c r="H54" s="222">
        <f t="shared" si="12"/>
        <v>123.05925131301521</v>
      </c>
      <c r="I54" s="222">
        <f t="shared" si="7"/>
        <v>19.104432842144369</v>
      </c>
      <c r="J54" s="222">
        <f t="shared" si="13"/>
        <v>7.203821854793567E-2</v>
      </c>
      <c r="K54" s="329"/>
      <c r="L54" s="351"/>
      <c r="M54" s="89"/>
      <c r="N54" s="89"/>
      <c r="O54" s="89"/>
      <c r="P54" s="89"/>
      <c r="Q54" s="53"/>
    </row>
    <row r="55" spans="3:17" ht="15" customHeight="1">
      <c r="C55" s="811" t="str">
        <f>IF(Indice_index!$Z$1=1,"Outras transferências","Other transfers")</f>
        <v>Outras transferências</v>
      </c>
      <c r="D55" s="222">
        <v>1088.9009515600001</v>
      </c>
      <c r="E55" s="222">
        <v>1356.9985860000002</v>
      </c>
      <c r="F55" s="222">
        <v>1088.9009515600001</v>
      </c>
      <c r="G55" s="222">
        <v>896.31167062999998</v>
      </c>
      <c r="H55" s="222">
        <f t="shared" si="12"/>
        <v>66.051039395114003</v>
      </c>
      <c r="I55" s="222">
        <f t="shared" si="7"/>
        <v>-17.686574766427515</v>
      </c>
      <c r="J55" s="222">
        <f t="shared" si="13"/>
        <v>-0.51787006381616685</v>
      </c>
      <c r="K55" s="329"/>
      <c r="L55" s="351"/>
      <c r="M55" s="89"/>
      <c r="N55" s="89"/>
      <c r="O55" s="89"/>
      <c r="P55" s="89"/>
      <c r="Q55" s="53"/>
    </row>
    <row r="56" spans="3:17" ht="15" customHeight="1">
      <c r="C56" s="989" t="str">
        <f>IF(Indice_index!$Z$1=1,"Outras despesas de capital","Other capital expenditure")</f>
        <v>Outras despesas de capital</v>
      </c>
      <c r="D56" s="222">
        <v>115.82734792000001</v>
      </c>
      <c r="E56" s="222">
        <v>215.53838999999999</v>
      </c>
      <c r="F56" s="222">
        <v>115.82734792000001</v>
      </c>
      <c r="G56" s="222">
        <v>314.56445734999994</v>
      </c>
      <c r="H56" s="222">
        <f t="shared" si="12"/>
        <v>145.94358682460231</v>
      </c>
      <c r="I56" s="222">
        <f t="shared" si="7"/>
        <v>171.58047127804764</v>
      </c>
      <c r="J56" s="222">
        <f t="shared" si="13"/>
        <v>0.53440149444538743</v>
      </c>
      <c r="K56" s="329"/>
      <c r="L56" s="350"/>
      <c r="M56" s="91"/>
      <c r="N56" s="89"/>
      <c r="O56" s="89"/>
      <c r="P56" s="89"/>
      <c r="Q56" s="53"/>
    </row>
    <row r="57" spans="3:17" ht="15" customHeight="1">
      <c r="C57" s="803" t="str">
        <f>IF(Indice_index!$Z$1=1,"Diferenças de consolidação","Consolidation differences")</f>
        <v>Diferenças de consolidação</v>
      </c>
      <c r="D57" s="222">
        <v>51.744096609999815</v>
      </c>
      <c r="E57" s="222">
        <v>2.5211229999999887</v>
      </c>
      <c r="F57" s="222">
        <v>51.744096609999815</v>
      </c>
      <c r="G57" s="222">
        <v>42.256369119999825</v>
      </c>
      <c r="H57" s="222"/>
      <c r="I57" s="222"/>
      <c r="J57" s="222"/>
      <c r="K57" s="329"/>
      <c r="L57" s="350"/>
      <c r="M57" s="88"/>
      <c r="N57" s="89"/>
      <c r="O57" s="89"/>
      <c r="P57" s="89"/>
      <c r="Q57" s="53"/>
    </row>
    <row r="58" spans="3:17" ht="4.5" customHeight="1">
      <c r="C58" s="989"/>
      <c r="D58" s="989"/>
      <c r="E58" s="989"/>
      <c r="F58" s="223"/>
      <c r="G58" s="223"/>
      <c r="H58" s="223"/>
      <c r="I58" s="223"/>
      <c r="J58" s="223"/>
      <c r="K58" s="329"/>
      <c r="L58" s="89"/>
      <c r="M58" s="89"/>
      <c r="N58" s="95"/>
      <c r="O58" s="89"/>
      <c r="P58" s="89"/>
      <c r="Q58" s="53"/>
    </row>
    <row r="59" spans="3:17" s="271" customFormat="1" ht="15" customHeight="1">
      <c r="C59" s="992" t="str">
        <f>IF(Indice_index!$Z$1=1,"Despesa efetiva","Effective Expenditure")</f>
        <v>Despesa efetiva</v>
      </c>
      <c r="D59" s="992">
        <f>+D34+D49</f>
        <v>37188.726359430053</v>
      </c>
      <c r="E59" s="992">
        <f>+E34+E49</f>
        <v>41318.755895999995</v>
      </c>
      <c r="F59" s="993">
        <f>+F34+F49</f>
        <v>37188.726359430053</v>
      </c>
      <c r="G59" s="993">
        <f>+G34+G49</f>
        <v>41139.205164179984</v>
      </c>
      <c r="H59" s="993">
        <f>IFERROR(IF(G59/E59*100&lt;-500,"-",IF(G59/E59*100&gt;500,"-",G59/E59*100)),"-")</f>
        <v>99.565449811044786</v>
      </c>
      <c r="I59" s="993">
        <f t="shared" ref="I59" si="14">IFERROR(IF(F59=0,"-",(G59-F59)/F59*100),"-")</f>
        <v>10.622785966285713</v>
      </c>
      <c r="J59" s="993"/>
      <c r="K59" s="506"/>
      <c r="L59" s="352"/>
      <c r="M59" s="282"/>
      <c r="N59" s="283"/>
      <c r="O59" s="283"/>
      <c r="P59" s="283"/>
    </row>
    <row r="60" spans="3:17" ht="4.5" customHeight="1">
      <c r="C60" s="995"/>
      <c r="D60" s="995"/>
      <c r="E60" s="995"/>
      <c r="F60" s="812"/>
      <c r="G60" s="812"/>
      <c r="H60" s="111"/>
      <c r="I60" s="111"/>
      <c r="J60" s="111"/>
      <c r="K60" s="329"/>
      <c r="L60" s="353"/>
      <c r="M60" s="89"/>
      <c r="N60" s="89"/>
      <c r="O60" s="89"/>
      <c r="P60" s="89"/>
      <c r="Q60" s="53"/>
    </row>
    <row r="61" spans="3:17" s="271" customFormat="1" ht="15" customHeight="1">
      <c r="C61" s="806" t="str">
        <f>IF(Indice_index!$Z$1=1,"Saldo global","Overall Balance")</f>
        <v>Saldo global</v>
      </c>
      <c r="D61" s="806">
        <f>+(D9+D22)-(D34+D49)</f>
        <v>-1151.3942142800588</v>
      </c>
      <c r="E61" s="806">
        <f>+(E9+E22)-(E34+E49)</f>
        <v>-909.68943799999397</v>
      </c>
      <c r="F61" s="807">
        <f>+(F9+F22)-(F34+F49)</f>
        <v>-1151.3942142800588</v>
      </c>
      <c r="G61" s="807">
        <f>+(G9+G22)-(G34+G49)</f>
        <v>-1761.9117617699885</v>
      </c>
      <c r="H61" s="807"/>
      <c r="I61" s="807"/>
      <c r="J61" s="807"/>
      <c r="K61" s="506"/>
      <c r="L61" s="352"/>
      <c r="M61" s="286"/>
      <c r="N61" s="287"/>
      <c r="O61" s="283"/>
      <c r="P61" s="283"/>
    </row>
    <row r="62" spans="3:17" ht="4.5" customHeight="1">
      <c r="C62" s="996"/>
      <c r="D62" s="996"/>
      <c r="E62" s="996"/>
      <c r="F62" s="997"/>
      <c r="G62" s="222"/>
      <c r="H62" s="224"/>
      <c r="I62" s="224"/>
      <c r="J62" s="224"/>
      <c r="K62" s="329"/>
      <c r="L62" s="353"/>
      <c r="M62" s="89"/>
      <c r="N62" s="89"/>
      <c r="O62" s="89"/>
      <c r="P62" s="89"/>
      <c r="Q62" s="53"/>
    </row>
    <row r="63" spans="3:17" ht="15" customHeight="1">
      <c r="C63" s="989" t="str">
        <f>IF(Indice_index!$Z$1=1,"Despesa  primária","Primary Expenditure")</f>
        <v>Despesa  primária</v>
      </c>
      <c r="D63" s="113">
        <f>D59-D40</f>
        <v>36556.717388780053</v>
      </c>
      <c r="E63" s="113">
        <f>E59-E40</f>
        <v>40809.564806999995</v>
      </c>
      <c r="F63" s="113">
        <f>F59-F40</f>
        <v>36556.717388780053</v>
      </c>
      <c r="G63" s="113">
        <f>G59-G40</f>
        <v>40818.259802969988</v>
      </c>
      <c r="H63" s="222">
        <f>IFERROR(IF(G63/E63*100&lt;-500,"-",IF(G63/E63*100&gt;500,"-",G63/E63*100)),"-")</f>
        <v>100.02130626977062</v>
      </c>
      <c r="I63" s="222">
        <f t="shared" ref="I63" si="15">IFERROR(IF(F63=0,"-",(G63-F63)/F63*100),"-")</f>
        <v>11.657344309305744</v>
      </c>
      <c r="J63" s="222"/>
      <c r="K63" s="329"/>
      <c r="L63" s="353"/>
      <c r="M63" s="89"/>
      <c r="N63" s="89"/>
      <c r="O63" s="89"/>
      <c r="P63" s="89"/>
      <c r="Q63" s="53"/>
    </row>
    <row r="64" spans="3:17" ht="15" customHeight="1">
      <c r="C64" s="981" t="str">
        <f>IF(Indice_index!$Z$1=1,"Saldo corrente","Current balance")</f>
        <v>Saldo corrente</v>
      </c>
      <c r="D64" s="113">
        <f>+D9-D34</f>
        <v>10.51454472993646</v>
      </c>
      <c r="E64" s="113">
        <f>+E9-E34</f>
        <v>911.92671000000701</v>
      </c>
      <c r="F64" s="113">
        <f>+F9-F34</f>
        <v>10.51454472993646</v>
      </c>
      <c r="G64" s="113">
        <f>+G9-G34</f>
        <v>-57.968971459988097</v>
      </c>
      <c r="H64" s="224"/>
      <c r="I64" s="224"/>
      <c r="J64" s="224"/>
      <c r="K64" s="329"/>
      <c r="L64" s="353"/>
      <c r="M64" s="96"/>
      <c r="N64" s="89"/>
      <c r="O64" s="89"/>
      <c r="P64" s="89"/>
      <c r="Q64" s="53"/>
    </row>
    <row r="65" spans="3:19" ht="15" customHeight="1">
      <c r="C65" s="981" t="str">
        <f>IF(Indice_index!$Z$1=1,"Saldo de capital","Capital balance")</f>
        <v>Saldo de capital</v>
      </c>
      <c r="D65" s="113">
        <f>D22-D49</f>
        <v>-1161.9087590099971</v>
      </c>
      <c r="E65" s="113">
        <f>E22-E49</f>
        <v>-1821.616148000001</v>
      </c>
      <c r="F65" s="113">
        <f>F22-F49</f>
        <v>-1161.9087590099971</v>
      </c>
      <c r="G65" s="113">
        <f>G22-G49</f>
        <v>-1703.9427903100027</v>
      </c>
      <c r="H65" s="224"/>
      <c r="I65" s="224"/>
      <c r="J65" s="224"/>
      <c r="K65" s="329"/>
      <c r="L65" s="353"/>
      <c r="M65" s="96"/>
      <c r="N65" s="89"/>
      <c r="O65" s="89"/>
      <c r="P65" s="89"/>
      <c r="Q65" s="53"/>
    </row>
    <row r="66" spans="3:19" ht="15" customHeight="1">
      <c r="C66" s="981" t="str">
        <f>IF(Indice_index!$Z$1=1,"Saldo primário","Primary balance")</f>
        <v>Saldo primário</v>
      </c>
      <c r="D66" s="113">
        <f>D61+D40</f>
        <v>-519.38524363005888</v>
      </c>
      <c r="E66" s="113">
        <f>E61+E40</f>
        <v>-400.49834899999394</v>
      </c>
      <c r="F66" s="113">
        <f>F61+F40</f>
        <v>-519.38524363005888</v>
      </c>
      <c r="G66" s="113">
        <f>G61+G40</f>
        <v>-1440.9664005599886</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Ativos financeiros líquidos de reembolsos</v>
      </c>
      <c r="D68" s="135">
        <v>3783.0859037799974</v>
      </c>
      <c r="E68" s="135">
        <v>2345.1231200000002</v>
      </c>
      <c r="F68" s="113">
        <v>3783.0859037799974</v>
      </c>
      <c r="G68" s="113">
        <v>124.85386106000138</v>
      </c>
      <c r="H68" s="998"/>
      <c r="I68" s="998"/>
      <c r="J68" s="224"/>
      <c r="K68" s="507"/>
      <c r="L68" s="353"/>
      <c r="M68" s="89"/>
      <c r="N68" s="89"/>
      <c r="O68" s="89"/>
      <c r="P68" s="89"/>
      <c r="Q68" s="53"/>
    </row>
    <row r="69" spans="3:19" ht="15" customHeight="1">
      <c r="C69" s="999" t="str">
        <f>IF(Indice_index!$Z$1=1,"dos quais Receitas de:","of which revenue from:")</f>
        <v>dos quais Receitas de:</v>
      </c>
      <c r="D69" s="999"/>
      <c r="E69" s="999"/>
      <c r="F69" s="113"/>
      <c r="G69" s="113"/>
      <c r="H69" s="113"/>
      <c r="I69" s="113"/>
      <c r="J69" s="224"/>
      <c r="K69" s="329"/>
      <c r="L69" s="353"/>
      <c r="M69" s="89"/>
      <c r="N69" s="89"/>
      <c r="O69" s="89"/>
      <c r="P69" s="89"/>
      <c r="Q69" s="53"/>
    </row>
    <row r="70" spans="3:19" ht="15" customHeight="1">
      <c r="C70" s="810" t="str">
        <f>IF(Indice_index!$Z$1=1,"Alienação de partes de Capital","Disposal of Capital Shares")</f>
        <v>Alienação de partes de Capital</v>
      </c>
      <c r="D70" s="113">
        <v>0</v>
      </c>
      <c r="E70" s="113">
        <v>0</v>
      </c>
      <c r="F70" s="113">
        <v>0</v>
      </c>
      <c r="G70" s="113">
        <v>0</v>
      </c>
      <c r="H70" s="222"/>
      <c r="I70" s="222" t="str">
        <f>IF(F70=0,"-",(G70-F70)/F70*100)</f>
        <v>-</v>
      </c>
      <c r="J70" s="224"/>
      <c r="K70" s="329"/>
      <c r="L70" s="353"/>
      <c r="M70" s="89"/>
      <c r="N70" s="89"/>
      <c r="O70" s="89"/>
      <c r="P70" s="89"/>
      <c r="Q70" s="53"/>
    </row>
    <row r="71" spans="3:19" ht="15" customHeight="1">
      <c r="C71" s="811" t="str">
        <f>IF(Indice_index!$Z$1=1,"Outros Ativos","Other Assets")</f>
        <v>Outros Ativos</v>
      </c>
      <c r="D71" s="113">
        <v>2588.6264850300013</v>
      </c>
      <c r="E71" s="113">
        <v>7202.56185</v>
      </c>
      <c r="F71" s="113">
        <v>2588.6264850300013</v>
      </c>
      <c r="G71" s="113">
        <v>6613.3592368500003</v>
      </c>
      <c r="H71" s="222"/>
      <c r="I71" s="222">
        <f>IF(IFERROR((G71-F71)/F71*100,"")&gt;500,"-",IFERROR((G71-F71)/F71*100,""))</f>
        <v>155.47753896110484</v>
      </c>
      <c r="J71" s="224"/>
      <c r="K71" s="329"/>
      <c r="L71" s="353"/>
      <c r="M71" s="89"/>
      <c r="N71" s="89"/>
      <c r="O71" s="89"/>
      <c r="P71" s="89"/>
      <c r="Q71" s="53"/>
    </row>
    <row r="72" spans="3:19" ht="15" customHeight="1">
      <c r="C72" s="135" t="str">
        <f>IF(Indice_index!$Z$1=1,"Passivos financeiros líquidos de amortizações","Financial liabilities net of amortizations")</f>
        <v>Passivos financeiros líquidos de amortizações</v>
      </c>
      <c r="D72" s="135">
        <v>1925.5570962700008</v>
      </c>
      <c r="E72" s="135">
        <v>3270.0491839999995</v>
      </c>
      <c r="F72" s="113">
        <v>1925.5570962700008</v>
      </c>
      <c r="G72" s="113">
        <v>2741.6972562000001</v>
      </c>
      <c r="H72" s="113"/>
      <c r="I72" s="113"/>
      <c r="J72" s="224"/>
      <c r="K72" s="329"/>
      <c r="L72" s="353"/>
      <c r="M72" s="89"/>
      <c r="N72" s="89"/>
      <c r="O72" s="89"/>
      <c r="P72" s="89"/>
      <c r="Q72" s="53"/>
    </row>
    <row r="73" spans="3:19" ht="15" customHeight="1">
      <c r="C73" s="983" t="str">
        <f>IF(Indice_index!$Z$1=1,"Poupança (+) / Utilização (-) de saldo da gerência anterior","Saving (+) / Usage (-) of balance from previous management")</f>
        <v>Poupança (+) / Utilização (-) de saldo da gerência anterior</v>
      </c>
      <c r="D73" s="983">
        <f>D61-D68+D72</f>
        <v>-3008.9230217900554</v>
      </c>
      <c r="E73" s="983">
        <f>E61-E68+E72</f>
        <v>15.236626000005344</v>
      </c>
      <c r="F73" s="695">
        <f>F61-F68+F72</f>
        <v>-3008.9230217900554</v>
      </c>
      <c r="G73" s="695">
        <f t="shared" ref="G73" si="16">G61-G68+G72</f>
        <v>854.9316333700101</v>
      </c>
      <c r="H73" s="695"/>
      <c r="I73" s="695"/>
      <c r="J73" s="695"/>
      <c r="K73" s="329"/>
      <c r="L73" s="353"/>
      <c r="M73" s="58"/>
      <c r="N73" s="58"/>
      <c r="O73" s="58"/>
      <c r="Q73" s="53"/>
    </row>
    <row r="74" spans="3:19" ht="4.5" customHeight="1">
      <c r="F74" s="809"/>
      <c r="K74" s="329"/>
    </row>
    <row r="75" spans="3:19" ht="15" customHeight="1">
      <c r="C75" s="791" t="str">
        <f>IF(Indice_index!$Z$1=1,"Notas:","Notes:")</f>
        <v>Notas:</v>
      </c>
      <c r="D75" s="791"/>
      <c r="E75" s="791"/>
      <c r="F75" s="58"/>
      <c r="G75" s="58"/>
    </row>
    <row r="76" spans="3:19" s="22" customFormat="1" ht="15" customHeight="1">
      <c r="C76" s="1716" t="str">
        <f>+'5 - Conta AC + SS'!$C$64</f>
        <v>Os dados da execução acumulada de 2021 correspondem aos valores publicados na Conta Geral do Estado.</v>
      </c>
      <c r="D76" s="1716"/>
      <c r="E76" s="1716"/>
      <c r="F76" s="1716"/>
      <c r="G76" s="1716"/>
      <c r="H76" s="1716"/>
      <c r="I76" s="1716"/>
      <c r="J76" s="1716"/>
      <c r="K76" s="62"/>
      <c r="R76" s="24"/>
      <c r="S76" s="24"/>
    </row>
    <row r="77" spans="3:19" s="62" customFormat="1" ht="4.5" customHeight="1">
      <c r="C77" s="800"/>
      <c r="D77" s="800"/>
      <c r="E77" s="800"/>
      <c r="F77" s="638"/>
      <c r="G77" s="638"/>
      <c r="H77" s="638"/>
      <c r="I77" s="638"/>
      <c r="J77" s="638"/>
      <c r="K77" s="78"/>
      <c r="L77" s="53"/>
      <c r="O77" s="97"/>
      <c r="P77" s="97"/>
    </row>
    <row r="78" spans="3:19" ht="15" customHeight="1">
      <c r="C78" s="1730" t="str">
        <f>IF(Indice_index!$Z$1=1,"Entidades em incumprimento no reporte de execução orçamental no mês em análise:","Non reporting entities are identified below:")</f>
        <v>Entidades em incumprimento no reporte de execução orçamental no mês em análise:</v>
      </c>
      <c r="D78" s="1730"/>
      <c r="E78" s="1730"/>
      <c r="F78" s="1730"/>
      <c r="G78" s="1730"/>
      <c r="H78" s="1730"/>
      <c r="I78" s="1730"/>
      <c r="J78" s="1730"/>
    </row>
    <row r="79" spans="3:19" ht="15" hidden="1" customHeight="1">
      <c r="C79" s="1000" t="s">
        <v>67</v>
      </c>
      <c r="D79" s="1001"/>
      <c r="E79" s="1001"/>
      <c r="F79" s="1002"/>
      <c r="G79" s="1002"/>
      <c r="H79" s="1002"/>
      <c r="I79" s="1002"/>
      <c r="J79" s="1002"/>
      <c r="K79" s="216"/>
      <c r="M79" s="50"/>
      <c r="N79" s="50"/>
      <c r="P79" s="53"/>
      <c r="Q79" s="53"/>
    </row>
    <row r="80" spans="3:19" ht="15" hidden="1" customHeight="1">
      <c r="C80" s="1732"/>
      <c r="D80" s="1732"/>
      <c r="E80" s="1732"/>
      <c r="F80" s="1732"/>
      <c r="G80" s="1732"/>
      <c r="H80" s="1732"/>
      <c r="I80" s="1732"/>
      <c r="J80" s="1732"/>
      <c r="K80" s="219"/>
      <c r="L80" s="219"/>
      <c r="M80" s="50"/>
      <c r="N80" s="50"/>
      <c r="P80" s="53"/>
      <c r="Q80" s="53"/>
    </row>
    <row r="81" spans="3:22" ht="12.75" customHeight="1">
      <c r="C81" s="1000" t="s">
        <v>73</v>
      </c>
      <c r="D81" s="1001"/>
      <c r="E81" s="1001"/>
      <c r="F81" s="1002"/>
      <c r="G81" s="1002"/>
      <c r="H81" s="1002"/>
      <c r="I81" s="1002"/>
      <c r="J81" s="1002"/>
      <c r="K81" s="216"/>
    </row>
    <row r="82" spans="3:22" ht="15.75" customHeight="1">
      <c r="C82" s="1732" t="s">
        <v>581</v>
      </c>
      <c r="D82" s="1732"/>
      <c r="E82" s="1732"/>
      <c r="F82" s="1732"/>
      <c r="G82" s="1732"/>
      <c r="H82" s="1732"/>
      <c r="I82" s="1732"/>
      <c r="J82" s="1732"/>
      <c r="K82" s="218"/>
      <c r="L82" s="218"/>
    </row>
    <row r="83" spans="3:22" ht="4.5" customHeight="1">
      <c r="C83" s="508"/>
      <c r="D83" s="508"/>
      <c r="E83" s="508"/>
      <c r="F83" s="508"/>
      <c r="G83" s="508"/>
      <c r="H83" s="508"/>
      <c r="I83" s="508"/>
      <c r="J83" s="508"/>
      <c r="K83" s="508"/>
    </row>
    <row r="84" spans="3:22" ht="24.75" customHeight="1">
      <c r="C84" s="1733" t="str">
        <f>+'10 - EPR'!C84:J84</f>
        <v>Para as entidades identificadas considera-se na execução orçamental uma estimativa de execução para os meses em falta, esta estimativa consiste na correspondente previsão mensal.</v>
      </c>
      <c r="D84" s="1733"/>
      <c r="E84" s="1733"/>
      <c r="F84" s="1733"/>
      <c r="G84" s="1733"/>
      <c r="H84" s="1733"/>
      <c r="I84" s="1733"/>
      <c r="J84" s="1733"/>
      <c r="K84" s="218"/>
      <c r="M84" s="98"/>
      <c r="N84" s="98"/>
      <c r="O84" s="53"/>
      <c r="P84" s="53"/>
      <c r="Q84" s="53"/>
      <c r="T84" s="50"/>
      <c r="U84" s="50"/>
      <c r="V84" s="50"/>
    </row>
    <row r="85" spans="3:22" s="99" customFormat="1" ht="4.5" customHeight="1">
      <c r="C85" s="509"/>
      <c r="D85" s="509"/>
      <c r="E85" s="509"/>
      <c r="F85" s="509"/>
      <c r="G85" s="509"/>
      <c r="H85" s="509"/>
      <c r="I85" s="509"/>
      <c r="J85" s="509"/>
      <c r="K85" s="509"/>
      <c r="M85" s="444"/>
      <c r="N85" s="444"/>
      <c r="T85" s="103"/>
      <c r="U85" s="103"/>
      <c r="V85" s="103"/>
    </row>
    <row r="86" spans="3:22" ht="18" customHeight="1">
      <c r="C86" s="1732" t="str">
        <f>+'10 - EPR'!C86:J86</f>
        <v>Esta estimativa apenas é utilizada para os meses em que haja falta de reporte. Nos restantes meses, é utilizada a informação efetivamente reportada pelas entidades.</v>
      </c>
      <c r="D86" s="1732"/>
      <c r="E86" s="1732"/>
      <c r="F86" s="1732"/>
      <c r="G86" s="1732"/>
      <c r="H86" s="1732"/>
      <c r="I86" s="1732"/>
      <c r="J86" s="1732"/>
      <c r="K86" s="218"/>
      <c r="L86" s="98"/>
      <c r="M86" s="98"/>
      <c r="N86" s="98"/>
      <c r="O86" s="53"/>
      <c r="P86" s="53"/>
      <c r="Q86" s="53"/>
      <c r="T86" s="50"/>
      <c r="U86" s="50"/>
      <c r="V86" s="50"/>
    </row>
    <row r="87" spans="3:22" s="341" customFormat="1" ht="4.5" customHeight="1">
      <c r="C87" s="627"/>
      <c r="D87" s="627"/>
      <c r="E87" s="627"/>
      <c r="F87" s="627"/>
      <c r="G87" s="627"/>
      <c r="H87" s="914"/>
      <c r="I87" s="627"/>
      <c r="J87" s="627"/>
      <c r="K87" s="340"/>
      <c r="L87" s="340"/>
      <c r="M87" s="340"/>
      <c r="N87" s="340"/>
      <c r="O87" s="340"/>
      <c r="P87" s="340"/>
      <c r="T87" s="342"/>
      <c r="U87" s="342"/>
      <c r="V87" s="342"/>
    </row>
    <row r="88" spans="3:22">
      <c r="C88" s="777" t="str">
        <f>IF(Indice_index!$Z$1=1,"Fonte: Direção-Geral do Orçamento","Source: Budget General Directorate")</f>
        <v>Fonte: Direção-Geral do Orçamento</v>
      </c>
      <c r="D88" s="777"/>
      <c r="E88" s="777"/>
      <c r="F88" s="628"/>
      <c r="G88" s="628"/>
      <c r="H88" s="628"/>
      <c r="I88" s="628"/>
      <c r="J88" s="628"/>
    </row>
    <row r="89" spans="3:22" s="341" customFormat="1" ht="12.75" customHeight="1">
      <c r="C89" s="629"/>
      <c r="D89" s="629"/>
      <c r="E89" s="629"/>
      <c r="F89" s="370"/>
      <c r="G89" s="630"/>
      <c r="H89" s="627"/>
      <c r="I89" s="101"/>
      <c r="J89" s="101"/>
      <c r="K89" s="376"/>
      <c r="L89" s="343"/>
      <c r="M89" s="343"/>
      <c r="N89" s="343"/>
      <c r="O89" s="343"/>
      <c r="P89" s="343"/>
      <c r="Q89" s="343"/>
      <c r="R89" s="343"/>
      <c r="S89" s="343"/>
    </row>
    <row r="90" spans="3:22" s="341" customFormat="1" ht="12.75" customHeight="1">
      <c r="C90" s="371"/>
      <c r="D90" s="371"/>
      <c r="E90" s="371"/>
      <c r="F90" s="370"/>
      <c r="G90" s="101"/>
      <c r="H90" s="628"/>
      <c r="I90" s="372"/>
      <c r="J90" s="101"/>
      <c r="K90" s="101"/>
      <c r="O90" s="342"/>
      <c r="P90" s="342"/>
      <c r="Q90" s="342"/>
    </row>
    <row r="91" spans="3:22" s="341" customFormat="1" ht="12.75" customHeight="1">
      <c r="C91" s="1729"/>
      <c r="D91" s="1729"/>
      <c r="E91" s="1729"/>
      <c r="F91" s="1729"/>
      <c r="G91" s="1729"/>
      <c r="H91" s="1729"/>
      <c r="I91" s="1729"/>
      <c r="J91" s="1729"/>
      <c r="K91" s="1729"/>
      <c r="O91" s="342"/>
      <c r="P91" s="342"/>
      <c r="Q91" s="342"/>
    </row>
    <row r="92" spans="3:22" s="341" customFormat="1" ht="12.75" customHeight="1">
      <c r="C92" s="1729"/>
      <c r="D92" s="1729"/>
      <c r="E92" s="1729"/>
      <c r="F92" s="1729"/>
      <c r="G92" s="1729"/>
      <c r="H92" s="1729"/>
      <c r="I92" s="1729"/>
      <c r="J92" s="1729"/>
      <c r="K92" s="1729"/>
      <c r="O92" s="342"/>
      <c r="P92" s="342"/>
      <c r="Q92" s="342"/>
    </row>
    <row r="93" spans="3:22" s="341" customFormat="1" ht="12.75" customHeight="1">
      <c r="C93" s="1729"/>
      <c r="D93" s="1729"/>
      <c r="E93" s="1729"/>
      <c r="F93" s="1729"/>
      <c r="G93" s="1729"/>
      <c r="H93" s="1729"/>
      <c r="I93" s="1729"/>
      <c r="J93" s="1729"/>
      <c r="K93" s="1729"/>
      <c r="O93" s="342"/>
      <c r="P93" s="342"/>
      <c r="Q93" s="342"/>
    </row>
    <row r="94" spans="3:22" s="341" customFormat="1" ht="12.75" customHeight="1">
      <c r="C94" s="1729"/>
      <c r="D94" s="1729"/>
      <c r="E94" s="1729"/>
      <c r="F94" s="1729"/>
      <c r="G94" s="1729"/>
      <c r="H94" s="1729"/>
      <c r="I94" s="1729"/>
      <c r="J94" s="1729"/>
      <c r="K94" s="1729"/>
      <c r="O94" s="342"/>
      <c r="P94" s="342"/>
      <c r="Q94" s="342"/>
    </row>
    <row r="95" spans="3:22" s="341" customFormat="1" ht="12.75" customHeight="1">
      <c r="C95" s="1731"/>
      <c r="D95" s="1731"/>
      <c r="E95" s="1731"/>
      <c r="F95" s="1731"/>
      <c r="G95" s="1731"/>
      <c r="H95" s="1731"/>
      <c r="I95" s="1731"/>
      <c r="J95" s="1731"/>
      <c r="K95" s="1731"/>
      <c r="O95" s="342"/>
      <c r="P95" s="342"/>
      <c r="Q95" s="342"/>
    </row>
    <row r="96" spans="3:22" s="341" customFormat="1" ht="12.75" customHeight="1">
      <c r="C96" s="1731"/>
      <c r="D96" s="1731"/>
      <c r="E96" s="1731"/>
      <c r="F96" s="1731"/>
      <c r="G96" s="1731"/>
      <c r="H96" s="1731"/>
      <c r="I96" s="1731"/>
      <c r="J96" s="1731"/>
      <c r="K96" s="1731"/>
      <c r="O96" s="342"/>
      <c r="P96" s="342"/>
      <c r="Q96" s="342"/>
    </row>
    <row r="97" spans="3:18" s="99" customFormat="1">
      <c r="C97" s="1729"/>
      <c r="D97" s="1729"/>
      <c r="E97" s="1729"/>
      <c r="F97" s="1729"/>
      <c r="G97" s="1729"/>
      <c r="H97" s="1729"/>
      <c r="I97" s="1729"/>
      <c r="J97" s="1729"/>
      <c r="K97" s="1729"/>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97:K97"/>
    <mergeCell ref="C78:J78"/>
    <mergeCell ref="C91:K91"/>
    <mergeCell ref="C92:K92"/>
    <mergeCell ref="C93:K93"/>
    <mergeCell ref="C94:K94"/>
    <mergeCell ref="C96:K96"/>
    <mergeCell ref="C80:J80"/>
    <mergeCell ref="C82:J82"/>
    <mergeCell ref="C86:J86"/>
    <mergeCell ref="C84:J84"/>
    <mergeCell ref="C95:K95"/>
    <mergeCell ref="C76:J76"/>
    <mergeCell ref="C2:J2"/>
    <mergeCell ref="F6:G6"/>
    <mergeCell ref="I6:J6"/>
    <mergeCell ref="U6:V6"/>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G67 I11:J57 I68:J72 F8:G8 G58:G62 G9:G10 I64:J67 I73:J73 I8:J8 I58:J63 I9:J10 G63 G64:G66 J5 D10 D58:D67 G6 J6 I7 I6 J7 D73 D6:E6 E8:E14 H10:H73 G73" unlockedFormula="1"/>
    <ignoredError sqref="G22 G24 F31:G31 G41 G49 G51 G15 D15 D22 D24 D31:D35 D41 D49 D51 E15:E66 G32:G35" formulaRange="1" unlockedFormula="1"/>
    <ignoredError sqref="E7:G7 D7" numberStoredAsText="1" unlockedFormula="1"/>
    <ignoredError sqref="I79:J79 F79:G79 D79 C81:D81 I81:J81 F81:G81 H7" numberStoredAsText="1"/>
    <ignoredError sqref="E67:E73 F15 F24 F35 F41 F51"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40625" defaultRowHeight="12"/>
  <cols>
    <col min="1" max="1" width="2.42578125" style="109" customWidth="1"/>
    <col min="2" max="2" width="4.42578125" style="109" customWidth="1"/>
    <col min="3" max="3" width="39.5703125" style="62" customWidth="1"/>
    <col min="4" max="4" width="23.5703125" style="62" hidden="1" customWidth="1"/>
    <col min="5" max="5" width="9.42578125" style="62" customWidth="1"/>
    <col min="6" max="6" width="9.42578125" style="110" customWidth="1"/>
    <col min="7" max="7" width="9.42578125" style="62" customWidth="1"/>
    <col min="8" max="10" width="9.42578125" style="53" customWidth="1"/>
    <col min="11" max="11" width="16.5703125" style="109" customWidth="1"/>
    <col min="12" max="14" width="8.5703125" style="109" customWidth="1"/>
    <col min="15" max="15" width="9.140625" style="109"/>
    <col min="16" max="16" width="9.5703125" style="109" bestFit="1" customWidth="1"/>
    <col min="17" max="17" width="9.5703125" style="50" bestFit="1" customWidth="1"/>
    <col min="18" max="19" width="9.140625" style="50" customWidth="1"/>
    <col min="20" max="16384" width="9.14062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Execução Orçamental das Entidades Públicas Reclassificadas da Administração Central</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760" t="str">
        <f>+'5 - Conta AC + SS'!C5</f>
        <v>Período: janeiro a dezembro</v>
      </c>
      <c r="D5" s="760"/>
      <c r="E5" s="760"/>
      <c r="F5" s="1003"/>
      <c r="G5" s="1004"/>
      <c r="H5" s="271"/>
      <c r="I5" s="271"/>
      <c r="J5" s="956" t="str">
        <f>IF(Indice_index!$Z$1=1,"€ Milhões","€ Millions")</f>
        <v>€ Milhões</v>
      </c>
      <c r="Q5" s="248"/>
      <c r="R5" s="248"/>
      <c r="S5" s="248"/>
    </row>
    <row r="6" spans="2:29" ht="31.5" customHeight="1">
      <c r="C6" s="763"/>
      <c r="D6" s="686" t="str">
        <f>IF(Indice_index!$Z$1=1,"CGE","Final execution")</f>
        <v>CGE</v>
      </c>
      <c r="E6" s="686" t="str">
        <f>IF(Indice_index!$Z$1=1,"Orçamento Inicial","Budget")</f>
        <v>Orçamento Inicial</v>
      </c>
      <c r="F6" s="1734" t="str">
        <f>IF(Indice_index!$Z$1=1,"Execução Acumulada","Accumulated Execution")</f>
        <v>Execução Acumulada</v>
      </c>
      <c r="G6" s="1734"/>
      <c r="H6" s="1005" t="str">
        <f>IF(Indice_index!$Z$1=1,"Grau de Execução (%)","Execution Degree (%)")</f>
        <v>Grau de Execução (%)</v>
      </c>
      <c r="I6" s="1718" t="str">
        <f>IF(Indice_index!$Z$1=1,"Variação Homóloga Acumulada","YOY Change Rate")</f>
        <v>Variação Homóloga Acumulada</v>
      </c>
      <c r="J6" s="1719"/>
      <c r="K6" s="55"/>
    </row>
    <row r="7" spans="2:29" ht="33.75" customHeight="1">
      <c r="C7" s="983"/>
      <c r="D7" s="687" t="s">
        <v>67</v>
      </c>
      <c r="E7" s="687" t="s">
        <v>73</v>
      </c>
      <c r="F7" s="765" t="s">
        <v>67</v>
      </c>
      <c r="G7" s="765" t="s">
        <v>73</v>
      </c>
      <c r="H7" s="767" t="s">
        <v>73</v>
      </c>
      <c r="I7" s="767" t="str">
        <f>IF(Indice_index!$Z$1=1,"Relativa (%)","Relative change (%)")</f>
        <v>Relativa (%)</v>
      </c>
      <c r="J7" s="768" t="str">
        <f>IF(Indice_index!$Z$1=1,"Contributo VHA (p.p.)","YOY Change Rate Contrib. (p.p.)")</f>
        <v>Contributo VHA (p.p.)</v>
      </c>
      <c r="K7" s="55"/>
    </row>
    <row r="8" spans="2:29" s="86" customFormat="1" ht="4.5" customHeight="1">
      <c r="C8" s="986"/>
      <c r="D8" s="986"/>
      <c r="E8" s="986"/>
      <c r="F8" s="1006"/>
      <c r="G8" s="986"/>
      <c r="H8" s="111"/>
      <c r="I8" s="111"/>
      <c r="J8" s="111"/>
      <c r="K8" s="111"/>
      <c r="N8" s="87"/>
    </row>
    <row r="9" spans="2:29" s="288" customFormat="1" ht="15" customHeight="1">
      <c r="C9" s="987" t="str">
        <f>IF(Indice_index!$Z$1=1,"Receita corrente","Current revenue")</f>
        <v>Receita corrente</v>
      </c>
      <c r="D9" s="987">
        <f>SUM(D10:D21)-D10-D15</f>
        <v>9396.7781400300009</v>
      </c>
      <c r="E9" s="987">
        <f>SUM(E10:E21)-E10-E15</f>
        <v>11262.551622999999</v>
      </c>
      <c r="F9" s="988">
        <f>SUM(F10:F21)-F10-F15</f>
        <v>9396.7781400300009</v>
      </c>
      <c r="G9" s="988">
        <f>SUM(G10:G21)-G10-G15</f>
        <v>10383.223624360002</v>
      </c>
      <c r="H9" s="988">
        <f t="shared" ref="H9:H20" si="0">IFERROR(IF(G9/E9*100&lt;-500,"-",IF(G9/E9*100&gt;500,"-",G9/E9*100)),"-")</f>
        <v>92.192461991967576</v>
      </c>
      <c r="I9" s="988">
        <f>IF(IFERROR((G9-F9)/F9*100,"")&gt;500,"-",IFERROR((G9-F9)/F9*100,""))</f>
        <v>10.497698994592326</v>
      </c>
      <c r="J9" s="278">
        <f>IFERROR((G9-F9)/$F$32*100,"-")</f>
        <v>8.6536477113302563</v>
      </c>
      <c r="K9" s="278"/>
      <c r="L9" s="273"/>
      <c r="M9" s="289"/>
      <c r="N9" s="289"/>
      <c r="O9" s="289"/>
      <c r="P9" s="289"/>
      <c r="Q9" s="289"/>
      <c r="R9" s="289"/>
      <c r="S9" s="289"/>
      <c r="T9" s="289"/>
      <c r="U9" s="289"/>
      <c r="V9" s="289"/>
      <c r="W9" s="289"/>
      <c r="X9" s="289"/>
      <c r="Y9" s="289"/>
      <c r="Z9" s="289"/>
      <c r="AA9" s="289"/>
      <c r="AB9" s="289"/>
      <c r="AC9" s="289"/>
    </row>
    <row r="10" spans="2:29" ht="15" customHeight="1">
      <c r="C10" s="989" t="str">
        <f>IF(Indice_index!$Z$1=1,"Receita Fiscal","Tax")</f>
        <v>Receita Fiscal</v>
      </c>
      <c r="D10" s="220">
        <f>D11+D12</f>
        <v>185.15344694000001</v>
      </c>
      <c r="E10" s="220">
        <f>E11+E12</f>
        <v>208.52782999999999</v>
      </c>
      <c r="F10" s="809">
        <f>F11+F12</f>
        <v>185.15344694000001</v>
      </c>
      <c r="G10" s="809">
        <f>G11+G12</f>
        <v>198.43773687000001</v>
      </c>
      <c r="H10" s="1007">
        <f t="shared" si="0"/>
        <v>95.1612726560287</v>
      </c>
      <c r="I10" s="1007">
        <f t="shared" ref="I10:I29" si="1">IF(IFERROR((G10-F10)/F10*100,"")&gt;500,"-",IFERROR((G10-F10)/F10*100,""))</f>
        <v>7.1747462170147163</v>
      </c>
      <c r="J10" s="1007">
        <f t="shared" ref="J10:J20" si="2">IFERROR((G10-F10)/$F$32*100,"-")</f>
        <v>0.11653717004693055</v>
      </c>
      <c r="K10" s="220"/>
      <c r="L10" s="57"/>
      <c r="N10" s="112"/>
      <c r="O10" s="112"/>
      <c r="P10" s="112"/>
      <c r="Q10" s="112"/>
      <c r="R10" s="112"/>
      <c r="S10" s="112"/>
      <c r="T10" s="112"/>
      <c r="U10" s="112"/>
      <c r="V10" s="112"/>
      <c r="W10" s="112"/>
      <c r="X10" s="112"/>
      <c r="Y10" s="112"/>
      <c r="Z10" s="112"/>
      <c r="AA10" s="112"/>
      <c r="AB10" s="112"/>
      <c r="AC10" s="112"/>
    </row>
    <row r="11" spans="2:29" ht="15" customHeight="1">
      <c r="C11" s="811" t="str">
        <f>IF(Indice_index!$Z$1=1,"Impostos diretos","Direct taxes")</f>
        <v>Impostos diretos</v>
      </c>
      <c r="D11" s="220">
        <v>1.5595100000000001E-3</v>
      </c>
      <c r="E11" s="220">
        <v>0</v>
      </c>
      <c r="F11" s="812">
        <v>1.5595100000000001E-3</v>
      </c>
      <c r="G11" s="812">
        <v>0</v>
      </c>
      <c r="H11" s="1008" t="str">
        <f t="shared" si="0"/>
        <v>-</v>
      </c>
      <c r="I11" s="1008">
        <f t="shared" si="1"/>
        <v>-100</v>
      </c>
      <c r="J11" s="1008">
        <f t="shared" si="2"/>
        <v>-1.3680887952427327E-5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811" t="str">
        <f>IF(Indice_index!$Z$1=1,"Impostos indiretos","Indirect taxes")</f>
        <v>Impostos indiretos</v>
      </c>
      <c r="D12" s="220">
        <v>185.15188743000002</v>
      </c>
      <c r="E12" s="220">
        <v>208.52782999999999</v>
      </c>
      <c r="F12" s="812">
        <v>185.15188743000002</v>
      </c>
      <c r="G12" s="812">
        <v>198.43773687000001</v>
      </c>
      <c r="H12" s="1007">
        <f t="shared" si="0"/>
        <v>95.1612726560287</v>
      </c>
      <c r="I12" s="1007">
        <f t="shared" si="1"/>
        <v>7.1756489358084163</v>
      </c>
      <c r="J12" s="1007">
        <f t="shared" si="2"/>
        <v>0.11655085093488292</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989" t="str">
        <f>IF(Indice_index!$Z$1=1,"Contribuições para Segurança Social, CGA e ADSE","Social security, CGA and ADSE contributions")</f>
        <v>Contribuições para Segurança Social, CGA e ADSE</v>
      </c>
      <c r="D13" s="220">
        <v>0</v>
      </c>
      <c r="E13" s="220">
        <v>0</v>
      </c>
      <c r="F13" s="812">
        <v>0</v>
      </c>
      <c r="G13" s="812">
        <v>0</v>
      </c>
      <c r="H13" s="1008" t="str">
        <f t="shared" si="0"/>
        <v>-</v>
      </c>
      <c r="I13" s="1008" t="str">
        <f t="shared" si="1"/>
        <v>-</v>
      </c>
      <c r="J13" s="1007">
        <f t="shared" si="2"/>
        <v>0</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989" t="str">
        <f>IF(Indice_index!$Z$1=1,"Taxas, Multas e Outras Penalidades","Taxes, fines and other penalties")</f>
        <v>Taxas, Multas e Outras Penalidades</v>
      </c>
      <c r="D14" s="220">
        <v>472.01967056000001</v>
      </c>
      <c r="E14" s="220">
        <v>509.13782900000001</v>
      </c>
      <c r="F14" s="812">
        <v>472.01967056000001</v>
      </c>
      <c r="G14" s="812">
        <v>494.05722060000028</v>
      </c>
      <c r="H14" s="1007">
        <f t="shared" si="0"/>
        <v>97.038010624820473</v>
      </c>
      <c r="I14" s="1007">
        <f t="shared" si="1"/>
        <v>4.6687778951786294</v>
      </c>
      <c r="J14" s="1007">
        <f t="shared" si="2"/>
        <v>0.19332562974476217</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989" t="str">
        <f>IF(Indice_index!$Z$1=1,"Transferências Correntes","Current transfers")</f>
        <v>Transferências Correntes</v>
      </c>
      <c r="D15" s="220">
        <f>SUM(D16:D19)</f>
        <v>1329.0158478599999</v>
      </c>
      <c r="E15" s="220">
        <f>SUM(E16:E19)</f>
        <v>1572.3849380000001</v>
      </c>
      <c r="F15" s="1007">
        <f>SUM(F16:F19)</f>
        <v>1329.0158478599999</v>
      </c>
      <c r="G15" s="1007">
        <f>SUM(G16:G19)</f>
        <v>1255.5521411099999</v>
      </c>
      <c r="H15" s="1007">
        <f t="shared" si="0"/>
        <v>79.850176045759085</v>
      </c>
      <c r="I15" s="1007">
        <f t="shared" si="1"/>
        <v>-5.5276772559403504</v>
      </c>
      <c r="J15" s="1007">
        <f t="shared" si="2"/>
        <v>-0.64446444114929013</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811" t="str">
        <f>IF(Indice_index!$Z$1=1,"Administração Central","Central Administration")</f>
        <v>Administração Central</v>
      </c>
      <c r="D16" s="220">
        <v>1133.9538990599999</v>
      </c>
      <c r="E16" s="220">
        <v>1005.919393</v>
      </c>
      <c r="F16" s="809">
        <v>1133.9538990599999</v>
      </c>
      <c r="G16" s="809">
        <v>1045.6634371999999</v>
      </c>
      <c r="H16" s="1007">
        <f t="shared" si="0"/>
        <v>103.95101679881817</v>
      </c>
      <c r="I16" s="1007">
        <f t="shared" si="1"/>
        <v>-7.7860715442831614</v>
      </c>
      <c r="J16" s="1007">
        <f t="shared" si="2"/>
        <v>-0.7745329725200345</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990" t="str">
        <f>IF(Indice_index!$Z$1=1,"Outros subsectores das AP","Other General Government subsectors")</f>
        <v>Outros subsectores das AP</v>
      </c>
      <c r="D17" s="220">
        <v>90.66560720999999</v>
      </c>
      <c r="E17" s="220">
        <v>87.270737999999994</v>
      </c>
      <c r="F17" s="812">
        <v>90.66560720999999</v>
      </c>
      <c r="G17" s="812">
        <v>74.093548350000006</v>
      </c>
      <c r="H17" s="1007">
        <f t="shared" si="0"/>
        <v>84.900792691818424</v>
      </c>
      <c r="I17" s="1007">
        <f t="shared" si="1"/>
        <v>-18.278219679945146</v>
      </c>
      <c r="J17" s="1007">
        <f t="shared" si="2"/>
        <v>-0.14537930529761933</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990" t="str">
        <f>IF(Indice_index!$Z$1=1,"União Europeia","European Union")</f>
        <v>União Europeia</v>
      </c>
      <c r="D18" s="220">
        <v>94.205071340000018</v>
      </c>
      <c r="E18" s="220">
        <v>462.52905199999998</v>
      </c>
      <c r="F18" s="812">
        <v>94.205071340000018</v>
      </c>
      <c r="G18" s="812">
        <v>124.78360223999999</v>
      </c>
      <c r="H18" s="1007">
        <f t="shared" si="0"/>
        <v>26.978543661296328</v>
      </c>
      <c r="I18" s="1007">
        <f t="shared" si="1"/>
        <v>32.459537968648775</v>
      </c>
      <c r="J18" s="1007">
        <f t="shared" si="2"/>
        <v>0.26825185795072581</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990" t="str">
        <f>IF(Indice_index!$Z$1=1,"Outras transferências","Other transfers")</f>
        <v>Outras transferências</v>
      </c>
      <c r="D19" s="991">
        <v>10.191270250000017</v>
      </c>
      <c r="E19" s="991">
        <v>16.665755000000047</v>
      </c>
      <c r="F19" s="812">
        <v>10.191270250000017</v>
      </c>
      <c r="G19" s="812">
        <v>11.011553320000019</v>
      </c>
      <c r="H19" s="1007">
        <f t="shared" si="0"/>
        <v>66.072934109495719</v>
      </c>
      <c r="I19" s="1007">
        <f t="shared" si="1"/>
        <v>8.0488795790691618</v>
      </c>
      <c r="J19" s="1007">
        <f t="shared" si="2"/>
        <v>7.1959787176376746E-3</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989" t="str">
        <f>IF(Indice_index!$Z$1=1,"Outras Receitas Correntes","Other current revenue")</f>
        <v>Outras Receitas Correntes</v>
      </c>
      <c r="D20" s="220">
        <v>7410.1790191700011</v>
      </c>
      <c r="E20" s="220">
        <v>8972.4691379999986</v>
      </c>
      <c r="F20" s="812">
        <v>7410.1790191700011</v>
      </c>
      <c r="G20" s="812">
        <v>8434.678551930001</v>
      </c>
      <c r="H20" s="1007">
        <f t="shared" si="0"/>
        <v>94.00621414463987</v>
      </c>
      <c r="I20" s="1007">
        <f t="shared" si="1"/>
        <v>13.825570611852129</v>
      </c>
      <c r="J20" s="1007">
        <f t="shared" si="2"/>
        <v>8.9874789613427986</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803" t="str">
        <f>IF(Indice_index!$Z$1=1,"Diferenças de consolidação","Consolidation differences")</f>
        <v>Diferenças de consolidação</v>
      </c>
      <c r="D21" s="220">
        <v>0.4101554999999999</v>
      </c>
      <c r="E21" s="220">
        <v>3.1887999999999916E-2</v>
      </c>
      <c r="F21" s="812">
        <v>0.4101554999999999</v>
      </c>
      <c r="G21" s="812">
        <v>0.49797384999999988</v>
      </c>
      <c r="H21" s="1007"/>
      <c r="I21" s="1007"/>
      <c r="J21" s="1007"/>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987" t="str">
        <f>IF(Indice_index!$Z$1=1,"Receita de capital","Capital revenue")</f>
        <v>Receita de capital</v>
      </c>
      <c r="D22" s="284">
        <f>SUM(D23:D30)-D24</f>
        <v>2002.4088529700009</v>
      </c>
      <c r="E22" s="284">
        <f>SUM(E23:E30)-E24</f>
        <v>2290.3525120000004</v>
      </c>
      <c r="F22" s="281">
        <f>SUM(F23:F30)-F24</f>
        <v>2002.4088529700009</v>
      </c>
      <c r="G22" s="281">
        <f>SUM(G23:G30)-G24</f>
        <v>1737.9571863200001</v>
      </c>
      <c r="H22" s="281">
        <f t="shared" ref="H22:H29" si="3">IFERROR(IF(G22/E22*100&lt;-500,"-",IF(G22/E22*100&gt;500,"-",G22/E22*100)),"-")</f>
        <v>75.881646044187619</v>
      </c>
      <c r="I22" s="281">
        <f t="shared" si="1"/>
        <v>-13.206676861109676</v>
      </c>
      <c r="J22" s="281">
        <f t="shared" ref="J22:J29" si="4">IFERROR((G22-F22)/$F$32*100,"-")</f>
        <v>-2.3199169099725703</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989" t="str">
        <f>IF(Indice_index!$Z$1=1,"Venda de bens de investimento","Sale of investment goods")</f>
        <v>Venda de bens de investimento</v>
      </c>
      <c r="D23" s="222">
        <v>113.09758594000002</v>
      </c>
      <c r="E23" s="222">
        <v>112.002539</v>
      </c>
      <c r="F23" s="812">
        <v>113.09758594000002</v>
      </c>
      <c r="G23" s="812">
        <v>103.28814195999999</v>
      </c>
      <c r="H23" s="812">
        <f t="shared" si="3"/>
        <v>92.219464739098456</v>
      </c>
      <c r="I23" s="812">
        <f t="shared" si="1"/>
        <v>-8.6734335648897805</v>
      </c>
      <c r="J23" s="812">
        <f t="shared" si="4"/>
        <v>-8.6053891264559465E-2</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989" t="str">
        <f>IF(Indice_index!$Z$1=1,"Transferências de capital","Capital transfers")</f>
        <v>Transferências de capital</v>
      </c>
      <c r="D24" s="222">
        <f>SUM(D25:D28)</f>
        <v>1866.4416001300003</v>
      </c>
      <c r="E24" s="222">
        <f>SUM(E25:E28)</f>
        <v>2147.5588120000002</v>
      </c>
      <c r="F24" s="812">
        <f>SUM(F25:F28)</f>
        <v>1866.4416001300003</v>
      </c>
      <c r="G24" s="812">
        <f>SUM(G25:G28)</f>
        <v>1618.62912351</v>
      </c>
      <c r="H24" s="812">
        <f t="shared" si="3"/>
        <v>75.370654087120741</v>
      </c>
      <c r="I24" s="812">
        <f t="shared" si="1"/>
        <v>-13.27726924875334</v>
      </c>
      <c r="J24" s="812">
        <f t="shared" si="4"/>
        <v>-2.1739486927635867</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811" t="str">
        <f>IF(Indice_index!$Z$1=1,"Administração Central","Central Administration")</f>
        <v>Administração Central</v>
      </c>
      <c r="D25" s="222">
        <v>1459.4761759100004</v>
      </c>
      <c r="E25" s="222">
        <v>1172.833402</v>
      </c>
      <c r="F25" s="812">
        <v>1459.4761759100004</v>
      </c>
      <c r="G25" s="812">
        <v>1046.06969746</v>
      </c>
      <c r="H25" s="812">
        <f t="shared" si="3"/>
        <v>89.19166999133607</v>
      </c>
      <c r="I25" s="812">
        <f t="shared" si="1"/>
        <v>-28.325675010915241</v>
      </c>
      <c r="J25" s="812">
        <f t="shared" si="4"/>
        <v>-3.626631256280509</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811" t="str">
        <f>IF(Indice_index!$Z$1=1,"Outros subsectores das AP","Other General Government subsectors")</f>
        <v>Outros subsectores das AP</v>
      </c>
      <c r="D26" s="222">
        <v>3.2427105000000003</v>
      </c>
      <c r="E26" s="222">
        <v>2.5241949999999997</v>
      </c>
      <c r="F26" s="812">
        <v>3.2427105000000003</v>
      </c>
      <c r="G26" s="812">
        <v>3.13787992</v>
      </c>
      <c r="H26" s="812">
        <f t="shared" si="3"/>
        <v>124.31210425501993</v>
      </c>
      <c r="I26" s="812">
        <f t="shared" si="1"/>
        <v>-3.2328072456668648</v>
      </c>
      <c r="J26" s="812">
        <f t="shared" si="4"/>
        <v>-9.196320760802894E-4</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811" t="str">
        <f>IF(Indice_index!$Z$1=1,"União Europeia","European Union")</f>
        <v>União Europeia</v>
      </c>
      <c r="D27" s="222">
        <v>189.50044813999997</v>
      </c>
      <c r="E27" s="222">
        <v>746.14160300000003</v>
      </c>
      <c r="F27" s="812">
        <v>189.50044813999997</v>
      </c>
      <c r="G27" s="812">
        <v>320.74413832000005</v>
      </c>
      <c r="H27" s="812">
        <f t="shared" si="3"/>
        <v>42.987033162390226</v>
      </c>
      <c r="I27" s="812">
        <f t="shared" si="1"/>
        <v>69.257720215542335</v>
      </c>
      <c r="J27" s="812">
        <f t="shared" si="4"/>
        <v>1.1513425497852965</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811" t="str">
        <f>IF(Indice_index!$Z$1=1,"Outras transferências","Other transfers")</f>
        <v>Outras transferências</v>
      </c>
      <c r="D28" s="222">
        <v>214.22226558000003</v>
      </c>
      <c r="E28" s="222">
        <v>226.05961200000002</v>
      </c>
      <c r="F28" s="812">
        <v>214.22226558000003</v>
      </c>
      <c r="G28" s="812">
        <v>248.67740780999998</v>
      </c>
      <c r="H28" s="812">
        <f t="shared" si="3"/>
        <v>110.0052351722164</v>
      </c>
      <c r="I28" s="812">
        <f t="shared" si="1"/>
        <v>16.083828698531285</v>
      </c>
      <c r="J28" s="812">
        <f t="shared" si="4"/>
        <v>0.30225964580770648</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989" t="str">
        <f>IF(Indice_index!$Z$1=1,"Outras Receitas de Capital","Other capital revenue")</f>
        <v>Outras Receitas de Capital</v>
      </c>
      <c r="D29" s="222">
        <v>22.869666899999999</v>
      </c>
      <c r="E29" s="222">
        <v>30.791160999999999</v>
      </c>
      <c r="F29" s="812">
        <v>22.869666899999999</v>
      </c>
      <c r="G29" s="812">
        <v>16.039920849999998</v>
      </c>
      <c r="H29" s="812">
        <f t="shared" si="3"/>
        <v>52.092614663019688</v>
      </c>
      <c r="I29" s="812">
        <f t="shared" si="1"/>
        <v>-29.863775803398347</v>
      </c>
      <c r="J29" s="812">
        <f t="shared" si="4"/>
        <v>-5.9914325944420449E-2</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803" t="str">
        <f>IF(Indice_index!$Z$1=1,"Diferenças de consolidação","Consolidation differences")</f>
        <v>Diferenças de consolidação</v>
      </c>
      <c r="D30" s="222">
        <v>0</v>
      </c>
      <c r="E30" s="222">
        <v>0</v>
      </c>
      <c r="F30" s="812">
        <v>0</v>
      </c>
      <c r="G30" s="812">
        <v>0</v>
      </c>
      <c r="H30" s="812"/>
      <c r="I30" s="812"/>
      <c r="J30" s="812"/>
      <c r="K30" s="222"/>
      <c r="L30" s="57"/>
      <c r="M30" s="112"/>
      <c r="N30" s="112"/>
      <c r="O30" s="112"/>
      <c r="P30" s="112"/>
      <c r="Q30" s="112"/>
      <c r="R30" s="112"/>
      <c r="S30" s="112"/>
      <c r="T30" s="112"/>
      <c r="U30" s="112"/>
      <c r="V30" s="112"/>
      <c r="W30" s="112"/>
      <c r="X30" s="112"/>
      <c r="Y30" s="112"/>
      <c r="Z30" s="112"/>
      <c r="AA30" s="112"/>
      <c r="AB30" s="112"/>
      <c r="AC30" s="112"/>
    </row>
    <row r="31" spans="3:29" ht="4.5" customHeight="1">
      <c r="C31" s="811"/>
      <c r="D31" s="811"/>
      <c r="E31" s="811"/>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992" t="str">
        <f>IF(Indice_index!$Z$1=1,"Receita efetiva","Effective revenue")</f>
        <v>Receita efetiva</v>
      </c>
      <c r="D32" s="992">
        <f>+D9+D22</f>
        <v>11399.186993000001</v>
      </c>
      <c r="E32" s="992">
        <f>+E9+E22</f>
        <v>13552.904135000001</v>
      </c>
      <c r="F32" s="993">
        <f>+F9+F22</f>
        <v>11399.186993000001</v>
      </c>
      <c r="G32" s="993">
        <f>+G9+G22</f>
        <v>12121.180810680002</v>
      </c>
      <c r="H32" s="993">
        <f>IFERROR(IF(G32/E32*100&lt;-500,"-",IF(G32/E32*100&gt;500,"-",G32/E32*100)),"-")</f>
        <v>89.436040349295965</v>
      </c>
      <c r="I32" s="993">
        <f t="shared" ref="I32" si="5">IFERROR(IF(F32=0,"-",(G32-F32)/F32*100),"-")</f>
        <v>6.3337308013576896</v>
      </c>
      <c r="J32" s="993"/>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811"/>
      <c r="D33" s="811"/>
      <c r="E33" s="811"/>
      <c r="F33" s="812"/>
      <c r="G33" s="812"/>
      <c r="H33" s="812"/>
      <c r="I33" s="812"/>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987" t="str">
        <f>IF(Indice_index!$Z$1=1,"Despesa corrente","Current Expenditure")</f>
        <v>Despesa corrente</v>
      </c>
      <c r="D34" s="987">
        <f>SUM(D35:D48)-D35-D41</f>
        <v>10465.24084210999</v>
      </c>
      <c r="E34" s="987">
        <f>SUM(E35:E48)-E35-E41</f>
        <v>11155.835802999998</v>
      </c>
      <c r="F34" s="281">
        <f>SUM(F35:F48)-F35-F41</f>
        <v>10465.24084210999</v>
      </c>
      <c r="G34" s="281">
        <f>SUM(G35:G48)-G35-G41</f>
        <v>11057.720720350004</v>
      </c>
      <c r="H34" s="281">
        <f t="shared" ref="H34:H47" si="6">IFERROR(IF(G34/E34*100&lt;-500,"-",IF(G34/E34*100&gt;500,"-",G34/E34*100)),"-")</f>
        <v>99.120504421339632</v>
      </c>
      <c r="I34" s="281">
        <f t="shared" ref="I34:I56" si="7">IF(IFERROR((G34-F34)/F34*100,"")&gt;500,"-",IFERROR((G34-F34)/F34*100,""))</f>
        <v>5.6614070060957982</v>
      </c>
      <c r="J34" s="281">
        <f>IFERROR((G34-F34)/$F$59*100,"-")</f>
        <v>4.3850061034552201</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989" t="str">
        <f>IF(Indice_index!$Z$1=1,"Despesas com o pessoal","Employees")</f>
        <v>Despesas com o pessoal</v>
      </c>
      <c r="D35" s="222">
        <f t="shared" ref="D35:G35" si="8">SUM(D36:D38)</f>
        <v>5038.6905779799999</v>
      </c>
      <c r="E35" s="222">
        <f t="shared" ref="E35" si="9">SUM(E36:E38)</f>
        <v>5260.8019539999996</v>
      </c>
      <c r="F35" s="812">
        <f t="shared" ref="F35" si="10">SUM(F36:F38)</f>
        <v>5038.6905779799999</v>
      </c>
      <c r="G35" s="812">
        <f t="shared" si="8"/>
        <v>5222.6010896200014</v>
      </c>
      <c r="H35" s="812">
        <f t="shared" si="6"/>
        <v>99.273858534990993</v>
      </c>
      <c r="I35" s="812">
        <f t="shared" si="7"/>
        <v>3.6499663710989525</v>
      </c>
      <c r="J35" s="812">
        <f t="shared" ref="J35:J47" si="11">IFERROR((G35-F35)/$F$59*100,"-")</f>
        <v>1.3611411047858166</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811" t="str">
        <f>IF(Indice_index!$Z$1=1,"Remunerações Certas e Permanentes","Certain and permanent wages")</f>
        <v>Remunerações Certas e Permanentes</v>
      </c>
      <c r="D36" s="222">
        <v>3313.24489253</v>
      </c>
      <c r="E36" s="222">
        <v>3507.0217859999998</v>
      </c>
      <c r="F36" s="812">
        <v>3313.24489253</v>
      </c>
      <c r="G36" s="812">
        <v>3426.4002890300012</v>
      </c>
      <c r="H36" s="812">
        <f t="shared" si="6"/>
        <v>97.701140686041967</v>
      </c>
      <c r="I36" s="812">
        <f t="shared" si="7"/>
        <v>3.4152439729136805</v>
      </c>
      <c r="J36" s="812">
        <f t="shared" si="11"/>
        <v>0.83747503082356989</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811" t="str">
        <f>IF(Indice_index!$Z$1=1,"Abonos Variáveis ou Eventuais","Variable or contingent bonuses")</f>
        <v>Abonos Variáveis ou Eventuais</v>
      </c>
      <c r="D37" s="222">
        <v>759.07758084000011</v>
      </c>
      <c r="E37" s="222">
        <v>734.76929399999995</v>
      </c>
      <c r="F37" s="812">
        <v>759.07758084000011</v>
      </c>
      <c r="G37" s="812">
        <v>803.1542605100002</v>
      </c>
      <c r="H37" s="812">
        <f t="shared" si="6"/>
        <v>109.30699841003431</v>
      </c>
      <c r="I37" s="812">
        <f t="shared" si="7"/>
        <v>5.806610652527052</v>
      </c>
      <c r="J37" s="812">
        <f t="shared" si="11"/>
        <v>0.32621615766450479</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811" t="str">
        <f>IF(Indice_index!$Z$1=1,"Segurança social","Social security")</f>
        <v>Segurança social</v>
      </c>
      <c r="D38" s="222">
        <v>966.36810461000027</v>
      </c>
      <c r="E38" s="222">
        <v>1019.0108739999999</v>
      </c>
      <c r="F38" s="812">
        <v>966.36810461000027</v>
      </c>
      <c r="G38" s="812">
        <v>993.04654008000057</v>
      </c>
      <c r="H38" s="812">
        <f t="shared" si="6"/>
        <v>97.452006197139028</v>
      </c>
      <c r="I38" s="812">
        <f t="shared" si="7"/>
        <v>2.7606908115791944</v>
      </c>
      <c r="J38" s="812">
        <f>IFERROR((G38-F38)/$F$59*100,"-")</f>
        <v>0.19744991629774269</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989" t="str">
        <f>IF(Indice_index!$Z$1=1,"Aquisição de bens e serviços","Purchase of goods and services")</f>
        <v>Aquisição de bens e serviços</v>
      </c>
      <c r="D39" s="222">
        <v>4566.1307005299896</v>
      </c>
      <c r="E39" s="222">
        <v>4853.3923489999997</v>
      </c>
      <c r="F39" s="812">
        <v>4566.1307005299896</v>
      </c>
      <c r="G39" s="812">
        <v>5246.4403747500019</v>
      </c>
      <c r="H39" s="812">
        <f t="shared" si="6"/>
        <v>108.09841853875643</v>
      </c>
      <c r="I39" s="812">
        <f t="shared" si="7"/>
        <v>14.899040759850543</v>
      </c>
      <c r="J39" s="812">
        <f t="shared" si="11"/>
        <v>5.0350436922111061</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989" t="str">
        <f>IF(Indice_index!$Z$1=1,"Juros e outros encargos","Interests")</f>
        <v>Juros e outros encargos</v>
      </c>
      <c r="D40" s="222">
        <v>619.68711370999995</v>
      </c>
      <c r="E40" s="222">
        <v>484.836139</v>
      </c>
      <c r="F40" s="812">
        <v>619.68711370999995</v>
      </c>
      <c r="G40" s="812">
        <v>304.19722454999999</v>
      </c>
      <c r="H40" s="812">
        <f t="shared" si="6"/>
        <v>62.742275189597606</v>
      </c>
      <c r="I40" s="812">
        <f t="shared" si="7"/>
        <v>-50.91115857988332</v>
      </c>
      <c r="J40" s="812">
        <f t="shared" si="11"/>
        <v>-2.3349739634273021</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989" t="str">
        <f>IF(Indice_index!$Z$1=1,"Transferências correntes","Current transfers")</f>
        <v>Transferências correntes</v>
      </c>
      <c r="D41" s="113">
        <f>SUM(D42:D45)</f>
        <v>51.248088850000002</v>
      </c>
      <c r="E41" s="113">
        <f>SUM(E42:E45)</f>
        <v>75.475421999999995</v>
      </c>
      <c r="F41" s="809">
        <f>SUM(F42:F45)</f>
        <v>51.248088850000002</v>
      </c>
      <c r="G41" s="809">
        <f>SUM(G42:G45)</f>
        <v>84.879577510000004</v>
      </c>
      <c r="H41" s="809">
        <f t="shared" si="6"/>
        <v>112.45989126102536</v>
      </c>
      <c r="I41" s="809">
        <f t="shared" si="7"/>
        <v>65.624864096761343</v>
      </c>
      <c r="J41" s="809">
        <f t="shared" si="11"/>
        <v>0.24891019671497283</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811" t="str">
        <f>IF(Indice_index!$Z$1=1,"Administração Central","Central Administration")</f>
        <v>Administração Central</v>
      </c>
      <c r="D42" s="113">
        <v>0.70975048000000018</v>
      </c>
      <c r="E42" s="113">
        <v>0.69647999999999988</v>
      </c>
      <c r="F42" s="812">
        <v>0.70975048000000018</v>
      </c>
      <c r="G42" s="812">
        <v>15.80203099</v>
      </c>
      <c r="H42" s="812" t="str">
        <f t="shared" si="6"/>
        <v>-</v>
      </c>
      <c r="I42" s="812" t="str">
        <f t="shared" si="7"/>
        <v>-</v>
      </c>
      <c r="J42" s="809">
        <f t="shared" si="11"/>
        <v>0.11169956074794968</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811" t="str">
        <f>IF(Indice_index!$Z$1=1,"Outros subsectores das AP","Other General Government subsectors")</f>
        <v>Outros subsectores das AP</v>
      </c>
      <c r="D43" s="222">
        <v>0.29586607999999998</v>
      </c>
      <c r="E43" s="222">
        <v>3.1758000000000002E-2</v>
      </c>
      <c r="F43" s="812">
        <v>0.29586607999999998</v>
      </c>
      <c r="G43" s="812">
        <v>0.73090624999999998</v>
      </c>
      <c r="H43" s="812" t="str">
        <f t="shared" si="6"/>
        <v>-</v>
      </c>
      <c r="I43" s="812">
        <f t="shared" si="7"/>
        <v>147.03955586933117</v>
      </c>
      <c r="J43" s="812">
        <f t="shared" si="11"/>
        <v>3.2197782081054989E-3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811" t="str">
        <f>IF(Indice_index!$Z$1=1,"União Europeia","European Union")</f>
        <v>União Europeia</v>
      </c>
      <c r="D44" s="222">
        <v>1.54922659</v>
      </c>
      <c r="E44" s="222">
        <v>2.3817749999999998</v>
      </c>
      <c r="F44" s="812">
        <v>1.54922659</v>
      </c>
      <c r="G44" s="812">
        <v>2.7447645899999999</v>
      </c>
      <c r="H44" s="812">
        <f t="shared" si="6"/>
        <v>115.24029725729761</v>
      </c>
      <c r="I44" s="812">
        <f t="shared" si="7"/>
        <v>77.169989704346605</v>
      </c>
      <c r="J44" s="812">
        <f t="shared" si="11"/>
        <v>8.8483029035273508E-3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811" t="str">
        <f>IF(Indice_index!$Z$1=1,"Outras transferências","Other transfers")</f>
        <v>Outras transferências</v>
      </c>
      <c r="D45" s="222">
        <v>48.693245700000006</v>
      </c>
      <c r="E45" s="222">
        <v>72.365409</v>
      </c>
      <c r="F45" s="812">
        <v>48.693245700000006</v>
      </c>
      <c r="G45" s="812">
        <v>65.601875680000006</v>
      </c>
      <c r="H45" s="812">
        <f t="shared" si="6"/>
        <v>90.653637679295102</v>
      </c>
      <c r="I45" s="812">
        <f t="shared" si="7"/>
        <v>34.72479547610029</v>
      </c>
      <c r="J45" s="812">
        <f t="shared" si="11"/>
        <v>0.1251425548553903</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989" t="str">
        <f>IF(Indice_index!$Z$1=1,"Subsídios","Subsidies")</f>
        <v>Subsídios</v>
      </c>
      <c r="D46" s="222">
        <v>35.056839529999998</v>
      </c>
      <c r="E46" s="222">
        <v>35.490586999999998</v>
      </c>
      <c r="F46" s="812">
        <v>35.056839529999998</v>
      </c>
      <c r="G46" s="812">
        <v>30.926712100000003</v>
      </c>
      <c r="H46" s="812">
        <f t="shared" si="6"/>
        <v>87.140604634124557</v>
      </c>
      <c r="I46" s="812">
        <f t="shared" si="7"/>
        <v>-11.781231523924527</v>
      </c>
      <c r="J46" s="812">
        <f t="shared" si="11"/>
        <v>-3.0567508963167133E-2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989" t="str">
        <f>IF(Indice_index!$Z$1=1,"Outras despesas correntes","Other current expenditure")</f>
        <v>Outras despesas correntes</v>
      </c>
      <c r="D47" s="222">
        <v>139.86708230999997</v>
      </c>
      <c r="E47" s="222">
        <v>445.83935100000002</v>
      </c>
      <c r="F47" s="812">
        <v>139.86708230999997</v>
      </c>
      <c r="G47" s="812">
        <v>165.93689287999999</v>
      </c>
      <c r="H47" s="812">
        <f t="shared" si="6"/>
        <v>37.218987625881411</v>
      </c>
      <c r="I47" s="812">
        <f t="shared" si="7"/>
        <v>18.638989345769833</v>
      </c>
      <c r="J47" s="812">
        <f t="shared" si="11"/>
        <v>0.19294541918445016</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803" t="str">
        <f>IF(Indice_index!$Z$1=1,"Diferenças de consolidação","Consolidation differences")</f>
        <v>Diferenças de consolidação</v>
      </c>
      <c r="D48" s="222">
        <v>14.560439200000019</v>
      </c>
      <c r="E48" s="222">
        <v>9.9999999747524271E-7</v>
      </c>
      <c r="F48" s="812">
        <v>14.560439200000019</v>
      </c>
      <c r="G48" s="812">
        <v>2.7388489400000173</v>
      </c>
      <c r="H48" s="812"/>
      <c r="I48" s="812"/>
      <c r="J48" s="812"/>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987" t="str">
        <f>IF(Indice_index!$Z$1=1,"Despesa de capital","Capital expenditure")</f>
        <v>Despesa de capital</v>
      </c>
      <c r="D49" s="281">
        <f>SUM(D50:D57)-D51</f>
        <v>3046.2541082200014</v>
      </c>
      <c r="E49" s="281">
        <f>SUM(E50:E57)-E51</f>
        <v>3797.4409329999999</v>
      </c>
      <c r="F49" s="281">
        <f>SUM(F50:F57)-F51</f>
        <v>3046.2541082200014</v>
      </c>
      <c r="G49" s="281">
        <f>SUM(G50:G57)-G51</f>
        <v>2823.5209112299999</v>
      </c>
      <c r="H49" s="281">
        <f t="shared" ref="H49:H56" si="12">IFERROR(IF(G49/E49*100&lt;-500,"-",IF(G49/E49*100&gt;500,"-",G49/E49*100)),"-")</f>
        <v>74.353254232170571</v>
      </c>
      <c r="I49" s="281">
        <f t="shared" si="7"/>
        <v>-7.3117077261866958</v>
      </c>
      <c r="J49" s="281">
        <f t="shared" ref="J49:J56" si="13">IFERROR((G49-F49)/$F$59*100,"-")</f>
        <v>-1.6484718960322129</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989" t="str">
        <f>IF(Indice_index!$Z$1=1,"Investimento","Investment")</f>
        <v>Investimento</v>
      </c>
      <c r="D50" s="222">
        <v>2474.2748304400011</v>
      </c>
      <c r="E50" s="222">
        <v>3650.564069</v>
      </c>
      <c r="F50" s="812">
        <v>2474.2748304400011</v>
      </c>
      <c r="G50" s="812">
        <v>2655.0819744400001</v>
      </c>
      <c r="H50" s="812">
        <f t="shared" si="12"/>
        <v>72.730732134974076</v>
      </c>
      <c r="I50" s="812">
        <f t="shared" si="7"/>
        <v>7.3074802271599708</v>
      </c>
      <c r="J50" s="812">
        <f t="shared" si="13"/>
        <v>1.3381727533827272</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989" t="str">
        <f>IF(Indice_index!$Z$1=1,"Transferências de capital","Capital transfers")</f>
        <v>Transferências de capital</v>
      </c>
      <c r="D51" s="222">
        <f>SUM(D52:D55)</f>
        <v>568.08653376000007</v>
      </c>
      <c r="E51" s="222">
        <f>SUM(E52:E55)</f>
        <v>140.15186399999999</v>
      </c>
      <c r="F51" s="812">
        <f>SUM(F52:F55)</f>
        <v>568.08653376000007</v>
      </c>
      <c r="G51" s="812">
        <f>SUM(G52:G55)</f>
        <v>168.39315842000002</v>
      </c>
      <c r="H51" s="812">
        <f t="shared" si="12"/>
        <v>120.1504950515678</v>
      </c>
      <c r="I51" s="812">
        <f t="shared" si="7"/>
        <v>-70.357833109428853</v>
      </c>
      <c r="J51" s="809">
        <f t="shared" si="13"/>
        <v>-2.9581728506677076</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811" t="str">
        <f>IF(Indice_index!$Z$1=1,"Administração Central","Central Administration")</f>
        <v>Administração Central</v>
      </c>
      <c r="D52" s="113">
        <v>0.6399155299999999</v>
      </c>
      <c r="E52" s="113">
        <v>0.118834</v>
      </c>
      <c r="F52" s="812">
        <v>0.6399155299999999</v>
      </c>
      <c r="G52" s="812">
        <v>0.31446600000000002</v>
      </c>
      <c r="H52" s="812">
        <f t="shared" si="12"/>
        <v>264.6262854065335</v>
      </c>
      <c r="I52" s="812">
        <f t="shared" si="7"/>
        <v>-50.858201550445244</v>
      </c>
      <c r="J52" s="812">
        <f t="shared" si="13"/>
        <v>-2.4086863163283899E-3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811" t="str">
        <f>IF(Indice_index!$Z$1=1,"Outros subsectores das AP","Other General Government subsectors")</f>
        <v>Outros subsectores das AP</v>
      </c>
      <c r="D53" s="222">
        <v>0</v>
      </c>
      <c r="E53" s="222">
        <v>0</v>
      </c>
      <c r="F53" s="812">
        <v>0</v>
      </c>
      <c r="G53" s="812">
        <v>0</v>
      </c>
      <c r="H53" s="812" t="str">
        <f t="shared" si="12"/>
        <v>-</v>
      </c>
      <c r="I53" s="812" t="str">
        <f t="shared" si="7"/>
        <v>-</v>
      </c>
      <c r="J53" s="812">
        <f t="shared" si="13"/>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811" t="str">
        <f>IF(Indice_index!$Z$1=1,"União Europeia","European Union")</f>
        <v>União Europeia</v>
      </c>
      <c r="D54" s="222">
        <v>133.12369321</v>
      </c>
      <c r="E54" s="222">
        <v>135.72310200000001</v>
      </c>
      <c r="F54" s="812">
        <v>133.12369321</v>
      </c>
      <c r="G54" s="812">
        <v>159.71182691999999</v>
      </c>
      <c r="H54" s="812">
        <f t="shared" si="12"/>
        <v>117.67475438337681</v>
      </c>
      <c r="I54" s="812">
        <f t="shared" si="7"/>
        <v>19.972503067547667</v>
      </c>
      <c r="J54" s="812">
        <f t="shared" si="13"/>
        <v>0.19678158344240532</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811" t="str">
        <f>IF(Indice_index!$Z$1=1,"Outras transferências","Other transfers")</f>
        <v>Outras transferências</v>
      </c>
      <c r="D55" s="222">
        <v>434.32292502000001</v>
      </c>
      <c r="E55" s="222">
        <v>4.3099279999999851</v>
      </c>
      <c r="F55" s="812">
        <v>434.32292502000001</v>
      </c>
      <c r="G55" s="812">
        <v>8.3668655000000172</v>
      </c>
      <c r="H55" s="812">
        <f t="shared" si="12"/>
        <v>194.13005275262245</v>
      </c>
      <c r="I55" s="812">
        <f t="shared" si="7"/>
        <v>-98.073584188627677</v>
      </c>
      <c r="J55" s="812">
        <f t="shared" si="13"/>
        <v>-3.1525457477937842</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989" t="str">
        <f>IF(Indice_index!$Z$1=1,"Outras despesas de capital","Other capital expenditure")</f>
        <v>Outras despesas de capital</v>
      </c>
      <c r="D56" s="222">
        <v>3.8170452699999999</v>
      </c>
      <c r="E56" s="222">
        <v>6.7249999999999996</v>
      </c>
      <c r="F56" s="812">
        <v>3.8170452699999999</v>
      </c>
      <c r="G56" s="812">
        <v>0</v>
      </c>
      <c r="H56" s="812">
        <f t="shared" si="12"/>
        <v>0</v>
      </c>
      <c r="I56" s="812">
        <f t="shared" si="7"/>
        <v>-100</v>
      </c>
      <c r="J56" s="812">
        <f t="shared" si="13"/>
        <v>-2.8250354857341502E-2</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803" t="str">
        <f>IF(Indice_index!$Z$1=1,"Diferenças de consolidação","Consolidation differences")</f>
        <v>Diferenças de consolidação</v>
      </c>
      <c r="D57" s="222">
        <v>7.5698749999999995E-2</v>
      </c>
      <c r="E57" s="222">
        <v>0</v>
      </c>
      <c r="F57" s="812">
        <v>7.5698749999999995E-2</v>
      </c>
      <c r="G57" s="812">
        <v>4.5778369999999999E-2</v>
      </c>
      <c r="H57" s="812"/>
      <c r="I57" s="812"/>
      <c r="J57" s="812"/>
      <c r="K57" s="222"/>
      <c r="L57" s="57"/>
      <c r="M57" s="112"/>
      <c r="N57" s="112"/>
      <c r="O57" s="112"/>
      <c r="P57" s="112"/>
      <c r="Q57" s="112"/>
      <c r="R57" s="112"/>
      <c r="S57" s="112"/>
      <c r="T57" s="112"/>
      <c r="U57" s="112"/>
      <c r="V57" s="112"/>
      <c r="W57" s="112"/>
      <c r="X57" s="112"/>
      <c r="Y57" s="112"/>
      <c r="Z57" s="112"/>
      <c r="AA57" s="112"/>
      <c r="AB57" s="112"/>
      <c r="AC57" s="112"/>
    </row>
    <row r="58" spans="3:29" ht="4.5" customHeight="1">
      <c r="C58" s="989"/>
      <c r="D58" s="989"/>
      <c r="E58" s="989"/>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992" t="str">
        <f>IF(Indice_index!$Z$1=1,"Despesa efetiva","Effective Expenditure")</f>
        <v>Despesa efetiva</v>
      </c>
      <c r="D59" s="992">
        <f>+D34+D49</f>
        <v>13511.49495032999</v>
      </c>
      <c r="E59" s="992">
        <f>+E34+E49</f>
        <v>14953.276735999998</v>
      </c>
      <c r="F59" s="993">
        <f>+F34+F49</f>
        <v>13511.49495032999</v>
      </c>
      <c r="G59" s="993">
        <f>+G34+G49</f>
        <v>13881.241631580004</v>
      </c>
      <c r="H59" s="993">
        <f>IFERROR(IF(G59/E59*100&lt;-500,"-",IF(G59/E59*100&gt;500,"-",G59/E59*100)),"-")</f>
        <v>92.830767975830526</v>
      </c>
      <c r="I59" s="993">
        <f t="shared" ref="I59" si="14">IF(F59=0,"-",(G59-F59)/F59*100)</f>
        <v>2.7365342074230141</v>
      </c>
      <c r="J59" s="993"/>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995"/>
      <c r="D60" s="995"/>
      <c r="E60" s="995"/>
      <c r="F60" s="812"/>
      <c r="G60" s="812"/>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806" t="str">
        <f>IF(Indice_index!$Z$1=1,"Saldo global","Overall Balance")</f>
        <v>Saldo global</v>
      </c>
      <c r="D61" s="806">
        <f>+(D9+D22)-(D34+D49)</f>
        <v>-2112.3079573299892</v>
      </c>
      <c r="E61" s="806">
        <f>+(E9+E22)-(E34+E49)</f>
        <v>-1400.3726009999973</v>
      </c>
      <c r="F61" s="807">
        <f>+(F9+F22)-(F34+F49)</f>
        <v>-2112.3079573299892</v>
      </c>
      <c r="G61" s="807">
        <f>+(G9+G22)-(G34+G49)</f>
        <v>-1760.060820900002</v>
      </c>
      <c r="H61" s="807"/>
      <c r="I61" s="807"/>
      <c r="J61" s="807"/>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996"/>
      <c r="D62" s="996"/>
      <c r="E62" s="996"/>
      <c r="F62" s="1009"/>
      <c r="G62" s="1009"/>
      <c r="H62" s="111"/>
      <c r="I62" s="111"/>
      <c r="J62" s="111"/>
      <c r="K62" s="224"/>
      <c r="L62" s="57"/>
      <c r="M62" s="112"/>
      <c r="N62" s="112"/>
      <c r="O62" s="112"/>
      <c r="P62" s="112"/>
      <c r="Q62" s="112"/>
      <c r="R62" s="112"/>
      <c r="S62" s="112"/>
      <c r="T62" s="112"/>
      <c r="U62" s="112"/>
      <c r="V62" s="112"/>
      <c r="W62" s="112"/>
      <c r="X62" s="112"/>
      <c r="Y62" s="112"/>
    </row>
    <row r="63" spans="3:29" ht="15" customHeight="1">
      <c r="C63" s="989" t="str">
        <f>IF(Indice_index!$Z$1=1,"Despesa  primária","Primary Expenditure")</f>
        <v>Despesa  primária</v>
      </c>
      <c r="D63" s="113">
        <f>D59-D40</f>
        <v>12891.80783661999</v>
      </c>
      <c r="E63" s="113">
        <f>E59-E40</f>
        <v>14468.440596999997</v>
      </c>
      <c r="F63" s="809">
        <f>F59-F40</f>
        <v>12891.80783661999</v>
      </c>
      <c r="G63" s="809">
        <f>G59-G40</f>
        <v>13577.044407030004</v>
      </c>
      <c r="H63" s="812">
        <f>IFERROR(IF(G63/E63*100&lt;-500,"-",IF(G63/E63*100&gt;500,"-",G63/E63*100)),"-")</f>
        <v>93.839030654382867</v>
      </c>
      <c r="I63" s="812">
        <f>IF(F63=0,"-",(G63-F63)/F63*100)</f>
        <v>5.3152868790330272</v>
      </c>
      <c r="J63" s="812"/>
      <c r="K63" s="222"/>
      <c r="L63" s="57"/>
      <c r="M63" s="112"/>
      <c r="N63" s="112"/>
      <c r="O63" s="112"/>
      <c r="P63" s="112"/>
      <c r="Q63" s="112"/>
      <c r="R63" s="112"/>
      <c r="S63" s="112"/>
      <c r="T63" s="112"/>
      <c r="U63" s="112"/>
      <c r="V63" s="112"/>
      <c r="W63" s="112"/>
      <c r="X63" s="112"/>
      <c r="Y63" s="112"/>
    </row>
    <row r="64" spans="3:29" ht="15" customHeight="1">
      <c r="C64" s="981" t="str">
        <f>IF(Indice_index!$Z$1=1,"Saldo corrente","Current balance")</f>
        <v>Saldo corrente</v>
      </c>
      <c r="D64" s="113">
        <f>+D9-D34</f>
        <v>-1068.462702079989</v>
      </c>
      <c r="E64" s="113">
        <f>+E9-E34</f>
        <v>106.71582000000126</v>
      </c>
      <c r="F64" s="809">
        <f>+F9-F34</f>
        <v>-1068.462702079989</v>
      </c>
      <c r="G64" s="809">
        <f>+G9-G34</f>
        <v>-674.49709599000198</v>
      </c>
      <c r="H64" s="111"/>
      <c r="I64" s="111"/>
      <c r="J64" s="111"/>
      <c r="K64" s="224"/>
      <c r="L64" s="57"/>
      <c r="M64" s="112"/>
      <c r="N64" s="112"/>
      <c r="O64" s="112"/>
      <c r="P64" s="112"/>
      <c r="Q64" s="112"/>
      <c r="R64" s="112"/>
      <c r="S64" s="112"/>
      <c r="T64" s="112"/>
      <c r="U64" s="112"/>
      <c r="V64" s="112"/>
      <c r="W64" s="112"/>
      <c r="X64" s="112"/>
      <c r="Y64" s="112"/>
    </row>
    <row r="65" spans="3:25" ht="15" customHeight="1">
      <c r="C65" s="981" t="str">
        <f>IF(Indice_index!$Z$1=1,"Saldo de capital","Capital balance")</f>
        <v>Saldo de capital</v>
      </c>
      <c r="D65" s="113">
        <f>D22-D49</f>
        <v>-1043.8452552500005</v>
      </c>
      <c r="E65" s="113">
        <f>E22-E49</f>
        <v>-1507.0884209999995</v>
      </c>
      <c r="F65" s="809">
        <f>F22-F49</f>
        <v>-1043.8452552500005</v>
      </c>
      <c r="G65" s="809">
        <f>G22-G49</f>
        <v>-1085.5637249099998</v>
      </c>
      <c r="H65" s="111"/>
      <c r="I65" s="111"/>
      <c r="J65" s="111"/>
      <c r="K65" s="224"/>
      <c r="L65" s="57"/>
      <c r="M65" s="112"/>
      <c r="N65" s="112"/>
      <c r="O65" s="112"/>
      <c r="P65" s="112"/>
      <c r="Q65" s="112"/>
      <c r="R65" s="112"/>
      <c r="S65" s="112"/>
      <c r="T65" s="112"/>
      <c r="U65" s="112"/>
      <c r="V65" s="112"/>
      <c r="W65" s="112"/>
      <c r="X65" s="112"/>
      <c r="Y65" s="112"/>
    </row>
    <row r="66" spans="3:25" ht="15" customHeight="1">
      <c r="C66" s="981" t="str">
        <f>IF(Indice_index!$Z$1=1,"Saldo primário","Primary balance")</f>
        <v>Saldo primário</v>
      </c>
      <c r="D66" s="113">
        <f>D61+D40</f>
        <v>-1492.6208436199893</v>
      </c>
      <c r="E66" s="113">
        <f>E61+E40</f>
        <v>-915.5364619999973</v>
      </c>
      <c r="F66" s="809">
        <f>F61+F40</f>
        <v>-1492.6208436199893</v>
      </c>
      <c r="G66" s="809">
        <f>G61+G40</f>
        <v>-1455.8635963500019</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809"/>
      <c r="G67" s="809"/>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Ativos financeiros líquidos de reembolsos</v>
      </c>
      <c r="D68" s="135">
        <v>482.44470149000017</v>
      </c>
      <c r="E68" s="135">
        <v>867.68834500000048</v>
      </c>
      <c r="F68" s="809">
        <v>482.44470149000017</v>
      </c>
      <c r="G68" s="809">
        <v>233.20185946999979</v>
      </c>
      <c r="H68" s="809"/>
      <c r="I68" s="809"/>
      <c r="J68" s="111"/>
      <c r="K68" s="224"/>
      <c r="L68" s="57"/>
      <c r="M68" s="112"/>
      <c r="N68" s="112"/>
      <c r="O68" s="112"/>
      <c r="P68" s="112"/>
      <c r="Q68" s="112"/>
      <c r="R68" s="112"/>
      <c r="S68" s="112"/>
      <c r="T68" s="112"/>
      <c r="U68" s="112"/>
      <c r="V68" s="112"/>
      <c r="W68" s="112"/>
      <c r="X68" s="112"/>
      <c r="Y68" s="112"/>
    </row>
    <row r="69" spans="3:25" ht="15" customHeight="1">
      <c r="C69" s="999" t="str">
        <f>IF(Indice_index!$Z$1=1,"dos quais Receitas de:","of which revenue from:")</f>
        <v>dos quais Receitas de:</v>
      </c>
      <c r="D69" s="999"/>
      <c r="E69" s="999"/>
      <c r="F69" s="809"/>
      <c r="G69" s="809"/>
      <c r="H69" s="809"/>
      <c r="I69" s="809"/>
      <c r="J69" s="111"/>
      <c r="K69" s="224"/>
      <c r="L69" s="57"/>
      <c r="M69" s="112"/>
      <c r="N69" s="112"/>
      <c r="O69" s="112"/>
      <c r="P69" s="112"/>
      <c r="Q69" s="112"/>
      <c r="R69" s="112"/>
      <c r="S69" s="112"/>
      <c r="T69" s="112"/>
      <c r="U69" s="112"/>
      <c r="V69" s="112"/>
      <c r="W69" s="112"/>
      <c r="X69" s="112"/>
      <c r="Y69" s="112"/>
    </row>
    <row r="70" spans="3:25" ht="15" customHeight="1">
      <c r="C70" s="810" t="str">
        <f>IF(Indice_index!$Z$1=1,"Alienação de partes de Capital","Disposal of Capital Shares")</f>
        <v>Alienação de partes de Capital</v>
      </c>
      <c r="D70" s="113">
        <v>0</v>
      </c>
      <c r="E70" s="113">
        <v>0</v>
      </c>
      <c r="F70" s="809">
        <v>0</v>
      </c>
      <c r="G70" s="809">
        <v>0</v>
      </c>
      <c r="H70" s="812"/>
      <c r="I70" s="812" t="str">
        <f t="shared" ref="I70:I71" si="15">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811" t="str">
        <f>IF(Indice_index!$Z$1=1,"Outros Ativos","Other Assets")</f>
        <v>Outros Ativos</v>
      </c>
      <c r="D71" s="113">
        <v>1366.74815977</v>
      </c>
      <c r="E71" s="113">
        <v>5394.3613129999994</v>
      </c>
      <c r="F71" s="809">
        <v>1366.74815977</v>
      </c>
      <c r="G71" s="809">
        <v>2372.8277247200003</v>
      </c>
      <c r="H71" s="812"/>
      <c r="I71" s="812">
        <f t="shared" si="15"/>
        <v>73.611188554247335</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Passivos financeiros líquidos de amortizações</v>
      </c>
      <c r="D72" s="135">
        <v>2015.7860917899998</v>
      </c>
      <c r="E72" s="135">
        <v>2301.8138350000004</v>
      </c>
      <c r="F72" s="809">
        <v>2015.7860917899998</v>
      </c>
      <c r="G72" s="809">
        <v>2365.8670158199998</v>
      </c>
      <c r="H72" s="809"/>
      <c r="I72" s="809"/>
      <c r="J72" s="111"/>
      <c r="K72" s="224"/>
      <c r="L72" s="57"/>
      <c r="M72" s="112"/>
      <c r="N72" s="112"/>
      <c r="O72" s="112"/>
      <c r="P72" s="112"/>
      <c r="Q72" s="112"/>
      <c r="R72" s="112"/>
      <c r="S72" s="112"/>
      <c r="T72" s="112"/>
      <c r="U72" s="112"/>
      <c r="V72" s="112"/>
      <c r="W72" s="112"/>
      <c r="X72" s="112"/>
      <c r="Y72" s="112"/>
    </row>
    <row r="73" spans="3:25" ht="15" customHeight="1">
      <c r="C73" s="983" t="str">
        <f>IF(Indice_index!$Z$1=1,"Poupança (+) / Utilização (-) de saldo da gerência anterior","Saving (+) / Usage (-) of balance from previous management")</f>
        <v>Poupança (+) / Utilização (-) de saldo da gerência anterior</v>
      </c>
      <c r="D73" s="983">
        <f>D61-D68+D72</f>
        <v>-578.96656702998962</v>
      </c>
      <c r="E73" s="983">
        <f>E61-E68+E72</f>
        <v>33.752889000002597</v>
      </c>
      <c r="F73" s="982">
        <f>F61-F68+F72</f>
        <v>-578.96656702998962</v>
      </c>
      <c r="G73" s="982">
        <f t="shared" ref="G73" si="16">G61-G68+G72</f>
        <v>372.60433544999796</v>
      </c>
      <c r="H73" s="982"/>
      <c r="I73" s="982"/>
      <c r="J73" s="982"/>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1010"/>
      <c r="G74" s="463"/>
      <c r="H74" s="463"/>
      <c r="I74" s="463"/>
      <c r="J74" s="463"/>
      <c r="K74" s="57"/>
      <c r="L74" s="58"/>
      <c r="P74" s="50"/>
      <c r="Q74" s="50"/>
      <c r="R74" s="50"/>
    </row>
    <row r="75" spans="3:25" s="53" customFormat="1" ht="15" customHeight="1">
      <c r="C75" s="791" t="str">
        <f>IF(Indice_index!$Z$1=1,"Notas:","Notes:")</f>
        <v>Notas:</v>
      </c>
      <c r="D75" s="791"/>
      <c r="E75" s="791"/>
      <c r="F75" s="58"/>
      <c r="L75" s="58"/>
      <c r="M75" s="50"/>
      <c r="N75" s="50"/>
      <c r="O75" s="50"/>
    </row>
    <row r="76" spans="3:25" s="22" customFormat="1" ht="15" customHeight="1">
      <c r="C76" s="1716" t="str">
        <f>+'5 - Conta AC + SS'!$C$64</f>
        <v>Os dados da execução acumulada de 2021 correspondem aos valores publicados na Conta Geral do Estado.</v>
      </c>
      <c r="D76" s="1716"/>
      <c r="E76" s="1716"/>
      <c r="F76" s="1716"/>
      <c r="G76" s="1716"/>
      <c r="H76" s="1716"/>
      <c r="I76" s="1716"/>
      <c r="J76" s="1716"/>
      <c r="K76" s="62"/>
      <c r="R76" s="24"/>
      <c r="S76" s="24"/>
    </row>
    <row r="77" spans="3:25" s="62" customFormat="1" ht="4.5" customHeight="1">
      <c r="C77" s="638"/>
      <c r="D77" s="638"/>
      <c r="E77" s="638"/>
      <c r="F77" s="638"/>
      <c r="G77" s="638"/>
      <c r="H77" s="638"/>
      <c r="I77" s="638"/>
      <c r="J77" s="638"/>
      <c r="L77" s="58"/>
      <c r="M77" s="97"/>
      <c r="N77" s="97"/>
    </row>
    <row r="78" spans="3:25" s="53" customFormat="1" ht="15" customHeight="1">
      <c r="C78" s="1730" t="str">
        <f>IF(Indice_index!$Z$1=1,"Entidades em incumprimento no reporte de execução orçamental no mês em análise:","Non reporting entities are identified below ")</f>
        <v>Entidades em incumprimento no reporte de execução orçamental no mês em análise:</v>
      </c>
      <c r="D78" s="1730"/>
      <c r="E78" s="1730"/>
      <c r="F78" s="1730"/>
      <c r="G78" s="1730"/>
      <c r="H78" s="1730"/>
      <c r="I78" s="1730"/>
      <c r="J78" s="1730"/>
      <c r="L78" s="58"/>
      <c r="M78" s="50"/>
      <c r="N78" s="50"/>
      <c r="O78" s="50"/>
    </row>
    <row r="79" spans="3:25" s="53" customFormat="1" ht="12.75" hidden="1" customHeight="1">
      <c r="C79" s="1000" t="s">
        <v>67</v>
      </c>
      <c r="D79" s="1001"/>
      <c r="E79" s="1001"/>
      <c r="F79" s="1002"/>
      <c r="G79" s="1002"/>
      <c r="H79" s="1002"/>
      <c r="I79" s="1002"/>
      <c r="J79" s="1002"/>
      <c r="K79" s="216"/>
      <c r="M79" s="50"/>
      <c r="N79" s="50"/>
      <c r="O79" s="50"/>
    </row>
    <row r="80" spans="3:25" s="53" customFormat="1" ht="12.6" hidden="1" customHeight="1">
      <c r="C80" s="1732"/>
      <c r="D80" s="1732"/>
      <c r="E80" s="1732"/>
      <c r="F80" s="1732"/>
      <c r="G80" s="1732"/>
      <c r="H80" s="1732"/>
      <c r="I80" s="1732"/>
      <c r="J80" s="1732"/>
      <c r="K80" s="219"/>
      <c r="M80" s="50"/>
      <c r="N80" s="50"/>
      <c r="O80" s="50"/>
    </row>
    <row r="81" spans="3:22" s="53" customFormat="1" ht="15" customHeight="1">
      <c r="C81" s="1000" t="s">
        <v>73</v>
      </c>
      <c r="D81" s="1001"/>
      <c r="E81" s="1001"/>
      <c r="F81" s="1002"/>
      <c r="G81" s="1002"/>
      <c r="H81" s="1002"/>
      <c r="I81" s="1002"/>
      <c r="J81" s="1002"/>
      <c r="K81" s="216"/>
      <c r="M81" s="50"/>
      <c r="N81" s="50"/>
      <c r="O81" s="50"/>
    </row>
    <row r="82" spans="3:22" s="53" customFormat="1" ht="20.25" customHeight="1">
      <c r="C82" s="1732" t="s">
        <v>581</v>
      </c>
      <c r="D82" s="1732"/>
      <c r="E82" s="1732"/>
      <c r="F82" s="1732"/>
      <c r="G82" s="1732"/>
      <c r="H82" s="1732"/>
      <c r="I82" s="1732"/>
      <c r="J82" s="1732"/>
      <c r="K82" s="218"/>
      <c r="L82" s="1735"/>
      <c r="M82" s="1735"/>
      <c r="N82" s="1735"/>
      <c r="O82" s="1735"/>
      <c r="P82" s="1735"/>
      <c r="Q82" s="1735"/>
      <c r="R82" s="1735"/>
      <c r="S82" s="1735"/>
      <c r="T82" s="1735"/>
      <c r="U82" s="1735"/>
    </row>
    <row r="83" spans="3:22" s="99" customFormat="1" ht="4.5" customHeight="1">
      <c r="C83" s="225"/>
      <c r="D83" s="225"/>
      <c r="E83" s="225"/>
      <c r="F83" s="225"/>
      <c r="G83" s="225"/>
      <c r="H83" s="225"/>
      <c r="I83" s="225"/>
      <c r="J83" s="225"/>
      <c r="K83" s="225"/>
      <c r="M83" s="103"/>
      <c r="N83" s="103"/>
      <c r="O83" s="103"/>
    </row>
    <row r="84" spans="3:22" s="53" customFormat="1" ht="25.5" customHeight="1">
      <c r="C84" s="1733" t="str">
        <f>IF(Indice_index!$Z$1=1,C101,C102)</f>
        <v>Para as entidades identificadas considera-se na execução orçamental uma estimativa de execução para os meses em falta, esta estimativa consiste na correspondente previsão mensal.</v>
      </c>
      <c r="D84" s="1733"/>
      <c r="E84" s="1733"/>
      <c r="F84" s="1733"/>
      <c r="G84" s="1733"/>
      <c r="H84" s="1733"/>
      <c r="I84" s="1733"/>
      <c r="J84" s="1733"/>
      <c r="K84" s="218"/>
      <c r="M84" s="50"/>
      <c r="N84" s="50"/>
      <c r="O84" s="50"/>
    </row>
    <row r="85" spans="3:22" s="53" customFormat="1" ht="4.5" customHeight="1">
      <c r="C85" s="1011"/>
      <c r="D85" s="1011"/>
      <c r="E85" s="1011"/>
      <c r="F85" s="1011"/>
      <c r="G85" s="1011"/>
      <c r="H85" s="1011"/>
      <c r="I85" s="1011"/>
      <c r="J85" s="1011"/>
      <c r="K85" s="218"/>
      <c r="M85" s="50"/>
      <c r="N85" s="50"/>
      <c r="O85" s="50"/>
    </row>
    <row r="86" spans="3:22" s="53" customFormat="1" ht="17.45" customHeight="1">
      <c r="C86" s="1732" t="str">
        <f>IF(Indice_index!$Z$1=1,"Esta estimativa apenas é utilizada para os meses em que haja falta de reporte. Nos restantes meses, é utilizada a informação efetivamente reportada pelas entidades.",C103)</f>
        <v>Esta estimativa apenas é utilizada para os meses em que haja falta de reporte. Nos restantes meses, é utilizada a informação efetivamente reportada pelas entidades.</v>
      </c>
      <c r="D86" s="1732"/>
      <c r="E86" s="1732"/>
      <c r="F86" s="1732"/>
      <c r="G86" s="1732"/>
      <c r="H86" s="1732"/>
      <c r="I86" s="1732"/>
      <c r="J86" s="1732"/>
      <c r="K86" s="226"/>
      <c r="M86" s="50"/>
      <c r="N86" s="50"/>
      <c r="O86" s="50"/>
    </row>
    <row r="87" spans="3:22" s="341" customFormat="1" ht="4.5" customHeight="1">
      <c r="C87" s="627"/>
      <c r="D87" s="627"/>
      <c r="E87" s="627"/>
      <c r="F87" s="627"/>
      <c r="G87" s="627"/>
      <c r="H87" s="1012"/>
      <c r="I87" s="627"/>
      <c r="J87" s="627"/>
      <c r="K87" s="340"/>
      <c r="L87" s="340"/>
      <c r="M87" s="340"/>
      <c r="N87" s="340"/>
      <c r="O87" s="340"/>
      <c r="P87" s="340"/>
      <c r="T87" s="342"/>
      <c r="U87" s="342"/>
      <c r="V87" s="342"/>
    </row>
    <row r="88" spans="3:22" s="53" customFormat="1" ht="15" customHeight="1">
      <c r="C88" s="777" t="str">
        <f>IF(Indice_index!$Z$1=1,"Fonte: Direção-Geral do Orçamento","Source: Budget General Directorate")</f>
        <v>Fonte: Direção-Geral do Orçamento</v>
      </c>
      <c r="D88" s="777"/>
      <c r="E88" s="777"/>
      <c r="K88" s="100"/>
      <c r="L88" s="100"/>
      <c r="M88" s="100"/>
      <c r="N88" s="100"/>
      <c r="O88" s="100"/>
      <c r="P88" s="100"/>
      <c r="Q88" s="100"/>
    </row>
    <row r="89" spans="3:22" s="106" customFormat="1" ht="12.75" customHeight="1">
      <c r="C89" s="105"/>
      <c r="D89" s="105"/>
      <c r="E89" s="105"/>
      <c r="F89" s="115"/>
      <c r="G89" s="105"/>
      <c r="H89" s="627"/>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729"/>
      <c r="D92" s="1729"/>
      <c r="E92" s="1729"/>
      <c r="F92" s="1729"/>
      <c r="G92" s="1729"/>
      <c r="H92" s="1729"/>
      <c r="I92" s="1729"/>
      <c r="J92" s="1729"/>
      <c r="K92" s="659"/>
      <c r="O92" s="102"/>
      <c r="P92" s="102"/>
      <c r="Q92" s="102"/>
    </row>
    <row r="93" spans="3:22" s="101" customFormat="1" ht="12.75" customHeight="1">
      <c r="C93" s="1729"/>
      <c r="D93" s="1729"/>
      <c r="E93" s="1729"/>
      <c r="F93" s="1729"/>
      <c r="G93" s="1729"/>
      <c r="H93" s="1729"/>
      <c r="I93" s="1729"/>
      <c r="J93" s="1729"/>
      <c r="K93" s="659"/>
      <c r="O93" s="102"/>
      <c r="P93" s="102"/>
      <c r="Q93" s="102"/>
    </row>
    <row r="94" spans="3:22" s="101" customFormat="1" ht="26.25" customHeight="1">
      <c r="C94" s="1729"/>
      <c r="D94" s="1729"/>
      <c r="E94" s="1729"/>
      <c r="F94" s="1729"/>
      <c r="G94" s="1729"/>
      <c r="H94" s="1729"/>
      <c r="I94" s="1729"/>
      <c r="J94" s="1729"/>
      <c r="K94" s="659"/>
      <c r="O94" s="102"/>
      <c r="P94" s="102"/>
      <c r="Q94" s="102"/>
    </row>
    <row r="95" spans="3:22" s="101" customFormat="1" ht="24.75" customHeight="1">
      <c r="C95" s="1729"/>
      <c r="D95" s="1729"/>
      <c r="E95" s="1729"/>
      <c r="F95" s="1729"/>
      <c r="G95" s="1729"/>
      <c r="H95" s="1729"/>
      <c r="I95" s="1729"/>
      <c r="J95" s="1729"/>
      <c r="K95" s="659"/>
      <c r="O95" s="102"/>
      <c r="P95" s="102"/>
      <c r="Q95" s="102"/>
    </row>
    <row r="96" spans="3:22" s="101" customFormat="1" ht="12.75" customHeight="1">
      <c r="C96" s="1729"/>
      <c r="D96" s="1729"/>
      <c r="E96" s="1729"/>
      <c r="F96" s="1729"/>
      <c r="G96" s="1729"/>
      <c r="H96" s="1729"/>
      <c r="I96" s="1729"/>
      <c r="J96" s="1729"/>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36"/>
      <c r="D100" s="1736"/>
      <c r="E100" s="1736"/>
      <c r="F100" s="1736"/>
      <c r="G100" s="1736"/>
      <c r="H100" s="1736"/>
      <c r="I100" s="1736"/>
      <c r="J100" s="1736"/>
      <c r="K100" s="348"/>
      <c r="Q100" s="102"/>
      <c r="R100" s="102"/>
      <c r="S100" s="102"/>
    </row>
    <row r="101" spans="3:19" s="421" customFormat="1">
      <c r="C101" s="1737" t="s">
        <v>74</v>
      </c>
      <c r="D101" s="1738"/>
      <c r="E101" s="1738"/>
      <c r="F101" s="1738"/>
      <c r="G101" s="1738"/>
      <c r="H101" s="1738"/>
      <c r="I101" s="1738"/>
      <c r="J101" s="1738"/>
      <c r="K101" s="503"/>
      <c r="Q101" s="103"/>
      <c r="R101" s="103"/>
      <c r="S101" s="103"/>
    </row>
    <row r="102" spans="3:19" s="421" customFormat="1">
      <c r="C102" s="1731" t="s">
        <v>75</v>
      </c>
      <c r="D102" s="1731"/>
      <c r="E102" s="1731"/>
      <c r="F102" s="1731"/>
      <c r="G102" s="1731"/>
      <c r="H102" s="1731"/>
      <c r="I102" s="1731"/>
      <c r="J102" s="1731"/>
      <c r="Q102" s="103"/>
      <c r="R102" s="103"/>
      <c r="S102" s="103"/>
    </row>
    <row r="103" spans="3:19" s="106" customFormat="1">
      <c r="C103" s="1731" t="s">
        <v>6</v>
      </c>
      <c r="D103" s="1731"/>
      <c r="E103" s="1731"/>
      <c r="F103" s="1731"/>
      <c r="G103" s="1731"/>
      <c r="H103" s="1731"/>
      <c r="I103" s="1731"/>
      <c r="J103" s="1731"/>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L82:U82"/>
    <mergeCell ref="C103:J103"/>
    <mergeCell ref="C94:J94"/>
    <mergeCell ref="C93:J93"/>
    <mergeCell ref="C95:J95"/>
    <mergeCell ref="C96:J96"/>
    <mergeCell ref="C100:J100"/>
    <mergeCell ref="C101:J101"/>
    <mergeCell ref="C92:J92"/>
    <mergeCell ref="C86:J86"/>
    <mergeCell ref="C84:J84"/>
    <mergeCell ref="C82:J82"/>
    <mergeCell ref="I6:J6"/>
    <mergeCell ref="C78:J78"/>
    <mergeCell ref="C76:J76"/>
    <mergeCell ref="C102:J102"/>
    <mergeCell ref="C80:J80"/>
    <mergeCell ref="F6:G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G22 F24:G24 F33:G33 F41:G41 G49 F51:G51 F35:G35 G34 D73 E67:E73 G31:G32"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17" customWidth="1"/>
    <col min="2" max="2" width="4.42578125" style="117" customWidth="1"/>
    <col min="3" max="3" width="40.85546875" style="117" customWidth="1"/>
    <col min="4" max="4" width="9.42578125" style="117" hidden="1" customWidth="1"/>
    <col min="5" max="10" width="9.42578125" style="117" customWidth="1"/>
    <col min="11" max="11" width="8.5703125" style="118" customWidth="1"/>
    <col min="12" max="12" width="9.5703125" style="117" bestFit="1" customWidth="1"/>
    <col min="13" max="14" width="8.5703125" style="117" customWidth="1"/>
    <col min="15" max="15" width="9.85546875" style="117" bestFit="1" customWidth="1"/>
    <col min="16" max="16" width="10.140625" style="117" customWidth="1"/>
    <col min="17" max="17" width="14.5703125" style="117" bestFit="1" customWidth="1"/>
    <col min="18" max="18" width="12.42578125" style="117" customWidth="1"/>
    <col min="19" max="19" width="10" style="117" customWidth="1"/>
    <col min="20" max="23" width="6.5703125" style="117" customWidth="1"/>
    <col min="24" max="24" width="9" style="117" bestFit="1" customWidth="1"/>
    <col min="25" max="27" width="9.140625" style="50" customWidth="1"/>
    <col min="28" max="28" width="9.140625" style="117" customWidth="1"/>
    <col min="29" max="16384" width="9.14062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Execução Orçamental da Caixa Geral de Aposentações</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1209" t="str">
        <f>+'5 - Conta AC + SS'!C5</f>
        <v>Período: janeiro a dezembro</v>
      </c>
      <c r="D5" s="1209"/>
      <c r="E5" s="1209"/>
      <c r="F5" s="1210"/>
      <c r="G5" s="1210"/>
      <c r="H5" s="1210"/>
      <c r="I5" s="1210"/>
      <c r="J5" s="956" t="str">
        <f>IF(Indice_index!$Z$1=1,"€ Milhões","€ Millions")</f>
        <v>€ Milhões</v>
      </c>
      <c r="K5" s="380"/>
      <c r="L5" s="291"/>
      <c r="Y5" s="248"/>
      <c r="Z5" s="248"/>
      <c r="AA5" s="248"/>
    </row>
    <row r="6" spans="2:33" ht="30.75" customHeight="1">
      <c r="C6" s="1211"/>
      <c r="D6" s="686" t="str">
        <f>IF(Indice_index!$Z$1=1,"CGE","Final execution")</f>
        <v>CGE</v>
      </c>
      <c r="E6" s="686" t="str">
        <f>IF(Indice_index!$Z$1=1,"Orçamento Inicial","Budget")</f>
        <v>Orçamento Inicial</v>
      </c>
      <c r="F6" s="1717" t="str">
        <f>IF(Indice_index!$Z$1=1,"Execução Acumulada","Accumulated Execution")</f>
        <v>Execução Acumulada</v>
      </c>
      <c r="G6" s="1717"/>
      <c r="H6" s="1005" t="str">
        <f>IF(Indice_index!$Z$1=1,"Grau de Execução (%)","Execution Degree (%)")</f>
        <v>Grau de Execução (%)</v>
      </c>
      <c r="I6" s="1718" t="str">
        <f>IF(Indice_index!$Z$1=1,"Variação Homóloga Acumulada","YOY Change Rate")</f>
        <v>Variação Homóloga Acumulada</v>
      </c>
      <c r="J6" s="1719"/>
      <c r="K6" s="117"/>
    </row>
    <row r="7" spans="2:33" ht="33" customHeight="1">
      <c r="C7" s="1212"/>
      <c r="D7" s="687" t="s">
        <v>67</v>
      </c>
      <c r="E7" s="687" t="s">
        <v>73</v>
      </c>
      <c r="F7" s="765" t="s">
        <v>67</v>
      </c>
      <c r="G7" s="765" t="s">
        <v>73</v>
      </c>
      <c r="H7" s="767" t="s">
        <v>73</v>
      </c>
      <c r="I7" s="767" t="str">
        <f>IF(Indice_index!$Z$1=1,"Relativa (%)","Relative change (%)")</f>
        <v>Relativa (%)</v>
      </c>
      <c r="J7" s="768" t="str">
        <f>IF(Indice_index!$Z$1=1,"Contributo VHA (p.p.)","YOY Change Rate Contrib. (p.p.)")</f>
        <v>Contributo VHA (p.p.)</v>
      </c>
      <c r="K7" s="117"/>
    </row>
    <row r="8" spans="2:33" s="292" customFormat="1" ht="15" customHeight="1">
      <c r="C8" s="1213" t="str">
        <f>IF(Indice_index!$Z$1=1,"Receita corrente","Current revenue")</f>
        <v>Receita corrente</v>
      </c>
      <c r="D8" s="1213">
        <f>+D9+D14+D23</f>
        <v>10366.37250845</v>
      </c>
      <c r="E8" s="1213">
        <f>+E9+E14+E23</f>
        <v>10352.569979999998</v>
      </c>
      <c r="F8" s="1213">
        <f>+F9+F14+F23</f>
        <v>10366.37250845</v>
      </c>
      <c r="G8" s="1213">
        <f>+G9+G14+G23</f>
        <v>10611.463965109999</v>
      </c>
      <c r="H8" s="1214">
        <f>IFERROR(IF(G8/E8*100&lt;-500,"-",IF(G8/E8*100&gt;500,"-",G8/E8*100)),"-")</f>
        <v>102.50077020112063</v>
      </c>
      <c r="I8" s="1214">
        <f t="shared" ref="I8:I20" si="0">IF(IFERROR((G8-F8)/F8*100,"")&gt;500,"-",IFERROR((G8-F8)/F8*100,""))</f>
        <v>2.3642933577798386</v>
      </c>
      <c r="J8" s="1214">
        <f>IFERROR((G8-F8)/$F$27*100,"-")</f>
        <v>2.3642933577798386</v>
      </c>
      <c r="K8" s="290"/>
      <c r="L8" s="293"/>
      <c r="M8" s="293"/>
      <c r="N8" s="418"/>
      <c r="O8" s="418"/>
      <c r="P8" s="293"/>
      <c r="Q8" s="293"/>
      <c r="R8" s="293"/>
      <c r="S8" s="293"/>
      <c r="T8" s="293"/>
      <c r="U8" s="293"/>
      <c r="V8" s="293"/>
      <c r="W8" s="293"/>
      <c r="X8" s="293"/>
      <c r="Y8" s="293"/>
      <c r="Z8" s="293"/>
      <c r="AA8" s="293"/>
    </row>
    <row r="9" spans="2:33" ht="15" customHeight="1">
      <c r="C9" s="1215" t="str">
        <f>IF(Indice_index!$Z$1=1,"Contribuições para a Caixa Geral de Aposentações","Contributions to the Public Servants Social Scheme (CGA)")</f>
        <v>Contribuições para a Caixa Geral de Aposentações</v>
      </c>
      <c r="D9" s="1216">
        <f t="shared" ref="D9:G9" si="1">+D10+D11</f>
        <v>4119.3248779699998</v>
      </c>
      <c r="E9" s="1216">
        <f t="shared" si="1"/>
        <v>4057.5362800000003</v>
      </c>
      <c r="F9" s="1216">
        <f t="shared" si="1"/>
        <v>4119.3248779699998</v>
      </c>
      <c r="G9" s="1216">
        <f t="shared" si="1"/>
        <v>4008.2479964399995</v>
      </c>
      <c r="H9" s="1217">
        <f t="shared" ref="H9:H25" si="2">IFERROR(IF(G9/E9*100&lt;-500,"-",IF(G9/E9*100&gt;500,"-",G9/E9*100)),"-")</f>
        <v>98.78526573371758</v>
      </c>
      <c r="I9" s="1217">
        <f t="shared" si="0"/>
        <v>-2.6964826718095338</v>
      </c>
      <c r="J9" s="1217">
        <f t="shared" ref="J9:J25" si="3">IFERROR((G9-F9)/$F$27*100,"-")</f>
        <v>-1.0715115768747219</v>
      </c>
      <c r="K9" s="117"/>
      <c r="L9" s="293"/>
      <c r="M9" s="87"/>
      <c r="N9" s="418"/>
      <c r="O9" s="418"/>
      <c r="P9" s="293"/>
      <c r="Q9" s="293"/>
      <c r="R9" s="293"/>
      <c r="S9" s="87"/>
      <c r="T9" s="87"/>
      <c r="U9" s="87"/>
      <c r="V9" s="87"/>
      <c r="W9" s="87"/>
      <c r="X9" s="87"/>
      <c r="Y9" s="87"/>
      <c r="Z9" s="87"/>
      <c r="AA9" s="87"/>
      <c r="AB9" s="87"/>
      <c r="AC9" s="87"/>
      <c r="AD9" s="87"/>
      <c r="AE9" s="87"/>
      <c r="AF9" s="87"/>
      <c r="AG9" s="87"/>
    </row>
    <row r="10" spans="2:33" ht="15" customHeight="1">
      <c r="C10" s="1218" t="str">
        <f>IF(Indice_index!$Z$1=1,"Quotas e contribuições para a CGA","Fees and contributions to the CGA")</f>
        <v>Quotas e contribuições para a CGA</v>
      </c>
      <c r="D10" s="1216">
        <v>4004.8889900199997</v>
      </c>
      <c r="E10" s="1216">
        <v>3939.8765800000001</v>
      </c>
      <c r="F10" s="1216">
        <v>4004.8889900199997</v>
      </c>
      <c r="G10" s="1216">
        <v>3892.1662535199994</v>
      </c>
      <c r="H10" s="1217">
        <f t="shared" si="2"/>
        <v>98.789040074955835</v>
      </c>
      <c r="I10" s="1217">
        <f t="shared" si="0"/>
        <v>-2.8146282401559755</v>
      </c>
      <c r="J10" s="1217">
        <f t="shared" si="3"/>
        <v>-1.087388441888578</v>
      </c>
      <c r="K10" s="117"/>
      <c r="L10" s="293"/>
      <c r="M10" s="87"/>
      <c r="N10" s="418"/>
      <c r="O10" s="418"/>
      <c r="P10" s="293"/>
      <c r="Q10" s="293"/>
      <c r="R10" s="293"/>
      <c r="S10" s="87"/>
      <c r="T10" s="87"/>
      <c r="U10" s="87"/>
      <c r="V10" s="87"/>
      <c r="W10" s="87"/>
      <c r="X10" s="87"/>
      <c r="Y10" s="87"/>
      <c r="Z10" s="87"/>
      <c r="AA10" s="87"/>
      <c r="AB10" s="87"/>
      <c r="AC10" s="87"/>
      <c r="AD10" s="87"/>
      <c r="AE10" s="87"/>
      <c r="AF10" s="87"/>
      <c r="AG10" s="87"/>
    </row>
    <row r="11" spans="2:33" ht="15" customHeight="1">
      <c r="C11" s="1218" t="str">
        <f>IF(Indice_index!$Z$1=1,"Compensação por pagamento de pensões","Pension payment compensations")</f>
        <v>Compensação por pagamento de pensões</v>
      </c>
      <c r="D11" s="1219">
        <f t="shared" ref="D11:E11" si="4">+D12+D13</f>
        <v>114.43588794999999</v>
      </c>
      <c r="E11" s="1219">
        <f t="shared" si="4"/>
        <v>117.6597</v>
      </c>
      <c r="F11" s="1219">
        <f t="shared" ref="F11:G11" si="5">+F12+F13</f>
        <v>114.43588794999999</v>
      </c>
      <c r="G11" s="1219">
        <f t="shared" si="5"/>
        <v>116.08174292000001</v>
      </c>
      <c r="H11" s="1217">
        <f t="shared" si="2"/>
        <v>98.658880585281111</v>
      </c>
      <c r="I11" s="1217">
        <f t="shared" si="0"/>
        <v>1.4382332321475348</v>
      </c>
      <c r="J11" s="1217">
        <f t="shared" si="3"/>
        <v>1.5876865013855341E-2</v>
      </c>
      <c r="K11" s="117"/>
      <c r="L11" s="293"/>
      <c r="M11" s="87"/>
      <c r="N11" s="418"/>
      <c r="O11" s="418"/>
      <c r="P11" s="293"/>
      <c r="Q11" s="293"/>
      <c r="R11" s="293"/>
      <c r="S11" s="87"/>
      <c r="T11" s="87"/>
      <c r="U11" s="87"/>
      <c r="V11" s="87"/>
      <c r="W11" s="87"/>
      <c r="X11" s="87"/>
      <c r="Y11" s="87"/>
      <c r="Z11" s="87"/>
      <c r="AA11" s="87"/>
      <c r="AB11" s="87"/>
      <c r="AC11" s="87"/>
      <c r="AD11" s="87"/>
      <c r="AE11" s="87"/>
      <c r="AF11" s="87"/>
      <c r="AG11" s="87"/>
    </row>
    <row r="12" spans="2:33" ht="15" customHeight="1">
      <c r="C12" s="1220" t="str">
        <f>IF(Indice_index!$Z$1=1,"Subsectores das Administrações Públicas","General Government subsectors")</f>
        <v>Subsectores das Administrações Públicas</v>
      </c>
      <c r="D12" s="1216">
        <v>53.576918370000001</v>
      </c>
      <c r="E12" s="1216">
        <v>44.237499999999997</v>
      </c>
      <c r="F12" s="1216">
        <v>53.576918370000001</v>
      </c>
      <c r="G12" s="1216">
        <v>39.282831410000007</v>
      </c>
      <c r="H12" s="1217">
        <f t="shared" si="2"/>
        <v>88.799844950551019</v>
      </c>
      <c r="I12" s="1217">
        <f t="shared" si="0"/>
        <v>-26.679561637505195</v>
      </c>
      <c r="J12" s="1217">
        <f t="shared" si="3"/>
        <v>-0.13788899586956166</v>
      </c>
      <c r="K12" s="117"/>
      <c r="L12" s="293"/>
      <c r="M12" s="87"/>
      <c r="N12" s="418"/>
      <c r="O12" s="418"/>
      <c r="P12" s="293"/>
      <c r="Q12" s="293"/>
      <c r="R12" s="293"/>
      <c r="S12" s="87"/>
      <c r="T12" s="87"/>
      <c r="U12" s="87"/>
      <c r="V12" s="87"/>
      <c r="W12" s="87"/>
      <c r="X12" s="87"/>
      <c r="Y12" s="87"/>
      <c r="Z12" s="87"/>
      <c r="AA12" s="87"/>
      <c r="AB12" s="87"/>
      <c r="AC12" s="87"/>
      <c r="AD12" s="87"/>
      <c r="AE12" s="87"/>
      <c r="AF12" s="87"/>
      <c r="AG12" s="87"/>
    </row>
    <row r="13" spans="2:33" ht="15" customHeight="1">
      <c r="C13" s="1220" t="str">
        <f>IF(Indice_index!$Z$1=1,"Outras entidades","Other entities")</f>
        <v>Outras entidades</v>
      </c>
      <c r="D13" s="1216">
        <v>60.85896958</v>
      </c>
      <c r="E13" s="1216">
        <v>73.422200000000004</v>
      </c>
      <c r="F13" s="1216">
        <v>60.85896958</v>
      </c>
      <c r="G13" s="1216">
        <v>76.798911509999996</v>
      </c>
      <c r="H13" s="1217">
        <f t="shared" si="2"/>
        <v>104.5990334122377</v>
      </c>
      <c r="I13" s="1217">
        <f t="shared" si="0"/>
        <v>26.191606660455712</v>
      </c>
      <c r="J13" s="1217">
        <f t="shared" si="3"/>
        <v>0.15376586088341684</v>
      </c>
      <c r="K13" s="117"/>
      <c r="L13" s="293"/>
      <c r="M13" s="87"/>
      <c r="N13" s="418"/>
      <c r="O13" s="418"/>
      <c r="P13" s="293"/>
      <c r="Q13" s="293"/>
      <c r="R13" s="293"/>
      <c r="S13" s="87"/>
      <c r="T13" s="87"/>
      <c r="U13" s="87"/>
      <c r="V13" s="87"/>
      <c r="W13" s="87"/>
      <c r="X13" s="87"/>
      <c r="Y13" s="87"/>
      <c r="Z13" s="87"/>
      <c r="AA13" s="87"/>
      <c r="AB13" s="87"/>
      <c r="AC13" s="87"/>
      <c r="AD13" s="87"/>
      <c r="AE13" s="87"/>
      <c r="AF13" s="87"/>
      <c r="AG13" s="87"/>
    </row>
    <row r="14" spans="2:33" ht="15" customHeight="1">
      <c r="C14" s="1215" t="str">
        <f>IF(Indice_index!$Z$1=1,"Transferências Correntes","Current transfers")</f>
        <v>Transferências Correntes</v>
      </c>
      <c r="D14" s="1216">
        <f t="shared" ref="D14:G14" si="6">+D15+D22</f>
        <v>6044.9386570400011</v>
      </c>
      <c r="E14" s="1216">
        <f t="shared" si="6"/>
        <v>6050.0595000000003</v>
      </c>
      <c r="F14" s="1216">
        <f t="shared" si="6"/>
        <v>6044.9386570400011</v>
      </c>
      <c r="G14" s="1216">
        <f t="shared" si="6"/>
        <v>6394.3768944899994</v>
      </c>
      <c r="H14" s="1217">
        <f t="shared" si="2"/>
        <v>105.69114063241855</v>
      </c>
      <c r="I14" s="1217">
        <f t="shared" si="0"/>
        <v>5.7806746647964529</v>
      </c>
      <c r="J14" s="1217">
        <f t="shared" si="3"/>
        <v>3.3708825065388948</v>
      </c>
      <c r="K14" s="117"/>
      <c r="L14" s="293"/>
      <c r="M14" s="87"/>
      <c r="N14" s="418"/>
      <c r="O14" s="418"/>
      <c r="P14" s="293"/>
      <c r="Q14" s="293"/>
      <c r="R14" s="293"/>
      <c r="S14" s="87"/>
      <c r="T14" s="87"/>
      <c r="U14" s="87"/>
      <c r="V14" s="87"/>
      <c r="W14" s="87"/>
      <c r="X14" s="87"/>
      <c r="Y14" s="87"/>
      <c r="Z14" s="87"/>
      <c r="AA14" s="87"/>
      <c r="AB14" s="87"/>
      <c r="AC14" s="87"/>
      <c r="AD14" s="87"/>
      <c r="AE14" s="87"/>
      <c r="AF14" s="87"/>
      <c r="AG14" s="87"/>
    </row>
    <row r="15" spans="2:33" ht="15" customHeight="1">
      <c r="C15" s="1218" t="str">
        <f>IF(Indice_index!$Z$1=1,"Orçamento do Estado","State Budget")</f>
        <v>Orçamento do Estado</v>
      </c>
      <c r="D15" s="1216">
        <f t="shared" ref="D15:G15" si="7">+D16+D17</f>
        <v>5488.7991009999996</v>
      </c>
      <c r="E15" s="1216">
        <f t="shared" si="7"/>
        <v>5489.0999999999995</v>
      </c>
      <c r="F15" s="1216">
        <f t="shared" si="7"/>
        <v>5488.7991009999996</v>
      </c>
      <c r="G15" s="1216">
        <f t="shared" si="7"/>
        <v>5827.82</v>
      </c>
      <c r="H15" s="1217">
        <f t="shared" si="2"/>
        <v>106.17077480825637</v>
      </c>
      <c r="I15" s="1217">
        <f t="shared" si="0"/>
        <v>6.1765951488046662</v>
      </c>
      <c r="J15" s="1217">
        <f t="shared" si="3"/>
        <v>3.2703908597115534</v>
      </c>
      <c r="K15" s="117"/>
      <c r="L15" s="293"/>
      <c r="M15" s="87"/>
      <c r="N15" s="418"/>
      <c r="O15" s="418"/>
      <c r="P15" s="293"/>
      <c r="Q15" s="293"/>
      <c r="R15" s="293"/>
      <c r="S15" s="87"/>
      <c r="T15" s="87"/>
      <c r="U15" s="87"/>
      <c r="V15" s="87"/>
      <c r="W15" s="87"/>
      <c r="X15" s="87"/>
      <c r="Y15" s="87"/>
      <c r="Z15" s="87"/>
      <c r="AA15" s="87"/>
      <c r="AB15" s="87"/>
      <c r="AC15" s="87"/>
      <c r="AD15" s="87"/>
      <c r="AE15" s="87"/>
      <c r="AF15" s="87"/>
      <c r="AG15" s="87"/>
    </row>
    <row r="16" spans="2:33" ht="15" customHeight="1">
      <c r="C16" s="1221" t="str">
        <f>IF(Indice_index!$Z$1=1,"Comparticipação do Orçamento do Estado","State Budget contributions")</f>
        <v>Comparticipação do Orçamento do Estado</v>
      </c>
      <c r="D16" s="1216">
        <v>5076.8823000000002</v>
      </c>
      <c r="E16" s="1216">
        <v>5060.0316999999995</v>
      </c>
      <c r="F16" s="1216">
        <v>5076.8823000000002</v>
      </c>
      <c r="G16" s="1216">
        <v>5055.1562999999996</v>
      </c>
      <c r="H16" s="1217">
        <f t="shared" si="2"/>
        <v>99.903648824966851</v>
      </c>
      <c r="I16" s="1217">
        <f t="shared" si="0"/>
        <v>-0.42793980077104732</v>
      </c>
      <c r="J16" s="1217">
        <f t="shared" si="3"/>
        <v>-0.20958150965818498</v>
      </c>
      <c r="K16" s="117"/>
      <c r="L16" s="293"/>
      <c r="M16" s="87"/>
      <c r="N16" s="418"/>
      <c r="O16" s="418"/>
      <c r="P16" s="293"/>
      <c r="Q16" s="293"/>
      <c r="R16" s="293"/>
      <c r="S16" s="87"/>
      <c r="T16" s="87"/>
      <c r="U16" s="87"/>
      <c r="V16" s="87"/>
      <c r="W16" s="87"/>
      <c r="X16" s="87"/>
      <c r="Y16" s="87"/>
      <c r="Z16" s="87"/>
      <c r="AA16" s="87"/>
      <c r="AB16" s="87"/>
      <c r="AC16" s="87"/>
      <c r="AD16" s="87"/>
      <c r="AE16" s="87"/>
      <c r="AF16" s="87"/>
      <c r="AG16" s="87"/>
    </row>
    <row r="17" spans="3:33" ht="15" customHeight="1">
      <c r="C17" s="1221" t="str">
        <f>IF(Indice_index!$Z$1=1,"Compensação por pagamento de pensões","Pension payment compensations")</f>
        <v>Compensação por pagamento de pensões</v>
      </c>
      <c r="D17" s="1216">
        <f>+D18+D19+D20+D21</f>
        <v>411.9168009999994</v>
      </c>
      <c r="E17" s="1216">
        <f>+E18+E19+E20+E21</f>
        <v>429.06830000000002</v>
      </c>
      <c r="F17" s="1216">
        <f>+F18+F19+F20+F21</f>
        <v>411.9168009999994</v>
      </c>
      <c r="G17" s="1216">
        <f>+G18+G19+G20+G21</f>
        <v>772.66370000000006</v>
      </c>
      <c r="H17" s="1217">
        <f t="shared" si="2"/>
        <v>180.07941859139908</v>
      </c>
      <c r="I17" s="1217">
        <f t="shared" si="0"/>
        <v>87.577612305258029</v>
      </c>
      <c r="J17" s="1217">
        <f t="shared" si="3"/>
        <v>3.4799723693697384</v>
      </c>
      <c r="K17" s="117"/>
      <c r="L17" s="293"/>
      <c r="M17" s="87"/>
      <c r="N17" s="418"/>
      <c r="O17" s="418"/>
      <c r="P17" s="293"/>
      <c r="Q17" s="293"/>
      <c r="R17" s="293"/>
      <c r="S17" s="87"/>
      <c r="T17" s="87"/>
      <c r="U17" s="87"/>
      <c r="V17" s="87"/>
      <c r="W17" s="87"/>
      <c r="X17" s="87"/>
      <c r="Y17" s="87"/>
      <c r="Z17" s="87"/>
      <c r="AA17" s="87"/>
      <c r="AB17" s="87"/>
      <c r="AC17" s="87"/>
      <c r="AD17" s="87"/>
      <c r="AE17" s="87"/>
      <c r="AF17" s="87"/>
      <c r="AG17" s="87"/>
    </row>
    <row r="18" spans="3:33" s="120" customFormat="1" ht="15" customHeight="1">
      <c r="C18" s="1222" t="str">
        <f>IF(Indice_index!$Z$1=1,"Deficientes das Forças Armadas / Invalidez","Armed Forces handicapped / disability")</f>
        <v>Deficientes das Forças Armadas / Invalidez</v>
      </c>
      <c r="D18" s="1216">
        <v>169.15</v>
      </c>
      <c r="E18" s="1216">
        <v>170.34299999999999</v>
      </c>
      <c r="F18" s="1216">
        <v>169.15</v>
      </c>
      <c r="G18" s="1216">
        <v>166.67443900000001</v>
      </c>
      <c r="H18" s="1217">
        <f t="shared" si="2"/>
        <v>97.846368210023314</v>
      </c>
      <c r="I18" s="1217">
        <f t="shared" si="0"/>
        <v>-1.4635300029559557</v>
      </c>
      <c r="J18" s="1217">
        <f t="shared" si="3"/>
        <v>-2.3880687270133125E-2</v>
      </c>
      <c r="K18" s="117"/>
      <c r="L18" s="293"/>
      <c r="M18" s="87"/>
      <c r="N18" s="418"/>
      <c r="O18" s="418"/>
      <c r="P18" s="293"/>
      <c r="Q18" s="293"/>
      <c r="R18" s="293"/>
      <c r="S18" s="87"/>
      <c r="T18" s="87"/>
      <c r="U18" s="87"/>
      <c r="V18" s="87"/>
      <c r="W18" s="87"/>
      <c r="X18" s="87"/>
      <c r="Y18" s="87"/>
      <c r="Z18" s="87"/>
      <c r="AA18" s="87"/>
      <c r="AB18" s="87"/>
      <c r="AC18" s="87"/>
      <c r="AD18" s="87"/>
      <c r="AE18" s="87"/>
      <c r="AF18" s="87"/>
      <c r="AG18" s="87"/>
    </row>
    <row r="19" spans="3:33" s="120" customFormat="1" ht="15" customHeight="1">
      <c r="C19" s="1222" t="str">
        <f>IF(Indice_index!$Z$1=1,"Subvenções vitalícias","Lifetime grants")</f>
        <v>Subvenções vitalícias</v>
      </c>
      <c r="D19" s="1216">
        <v>8.1715</v>
      </c>
      <c r="E19" s="1216">
        <v>8.2799999999999994</v>
      </c>
      <c r="F19" s="1216">
        <v>8.1715</v>
      </c>
      <c r="G19" s="1216">
        <v>7.0704440000000002</v>
      </c>
      <c r="H19" s="1217">
        <f t="shared" si="2"/>
        <v>85.391835748792275</v>
      </c>
      <c r="I19" s="1217">
        <f t="shared" si="0"/>
        <v>-13.474343755736399</v>
      </c>
      <c r="J19" s="1217">
        <f t="shared" si="3"/>
        <v>-1.0621420358013275E-2</v>
      </c>
      <c r="K19" s="117"/>
      <c r="L19" s="293"/>
      <c r="M19" s="87"/>
      <c r="N19" s="418"/>
      <c r="O19" s="418"/>
      <c r="P19" s="293"/>
      <c r="Q19" s="293"/>
      <c r="R19" s="293"/>
      <c r="S19" s="87"/>
      <c r="T19" s="87"/>
      <c r="U19" s="87"/>
      <c r="V19" s="87"/>
      <c r="W19" s="87"/>
      <c r="X19" s="87"/>
      <c r="Y19" s="87"/>
      <c r="Z19" s="87"/>
      <c r="AA19" s="87"/>
      <c r="AB19" s="87"/>
      <c r="AC19" s="87"/>
      <c r="AD19" s="87"/>
      <c r="AE19" s="87"/>
      <c r="AF19" s="87"/>
      <c r="AG19" s="87"/>
    </row>
    <row r="20" spans="3:33" ht="15" customHeight="1">
      <c r="C20" s="1222" t="str">
        <f>IF(Indice_index!$Z$1=1,"Pensões de preço de sangue","Blood price pensions")</f>
        <v>Pensões de preço de sangue</v>
      </c>
      <c r="D20" s="1216">
        <v>29.667999999999999</v>
      </c>
      <c r="E20" s="1216">
        <v>28.657</v>
      </c>
      <c r="F20" s="1216">
        <v>29.667999999999999</v>
      </c>
      <c r="G20" s="1216">
        <v>29.141999999999999</v>
      </c>
      <c r="H20" s="1217">
        <f t="shared" si="2"/>
        <v>101.6924311686499</v>
      </c>
      <c r="I20" s="1217">
        <f t="shared" si="0"/>
        <v>-1.7729540245382223</v>
      </c>
      <c r="J20" s="1217">
        <f t="shared" si="3"/>
        <v>-5.0740989634632406E-3</v>
      </c>
      <c r="K20" s="117"/>
      <c r="L20" s="293"/>
      <c r="M20" s="87"/>
      <c r="N20" s="418"/>
      <c r="O20" s="418"/>
      <c r="P20" s="293"/>
      <c r="Q20" s="293"/>
      <c r="R20" s="293"/>
      <c r="S20" s="87"/>
      <c r="T20" s="87"/>
      <c r="U20" s="87"/>
      <c r="V20" s="87"/>
      <c r="W20" s="87"/>
      <c r="X20" s="87"/>
      <c r="Y20" s="87"/>
      <c r="Z20" s="87"/>
      <c r="AA20" s="87"/>
      <c r="AB20" s="87"/>
      <c r="AC20" s="87"/>
      <c r="AD20" s="87"/>
      <c r="AE20" s="87"/>
      <c r="AF20" s="87"/>
      <c r="AG20" s="87"/>
    </row>
    <row r="21" spans="3:33" ht="15" customHeight="1">
      <c r="C21" s="1222" t="str">
        <f>IF(Indice_index!$Z$1=1,"Outras","Others")</f>
        <v>Outras</v>
      </c>
      <c r="D21" s="1216">
        <v>204.92730099999937</v>
      </c>
      <c r="E21" s="1216">
        <v>221.78829999999999</v>
      </c>
      <c r="F21" s="1216">
        <v>204.92730099999937</v>
      </c>
      <c r="G21" s="1216">
        <v>569.77681700000005</v>
      </c>
      <c r="H21" s="1217">
        <f t="shared" si="2"/>
        <v>256.90120578948489</v>
      </c>
      <c r="I21" s="1217">
        <f t="shared" ref="I21:I25" si="8">IF(IFERROR((G21-F21)/F21*100,"")&gt;500,"-",IFERROR((G21-F21)/F21*100,""))</f>
        <v>178.03851132553675</v>
      </c>
      <c r="J21" s="1217">
        <f t="shared" si="3"/>
        <v>3.5195485759613483</v>
      </c>
      <c r="K21" s="117"/>
      <c r="L21" s="293"/>
      <c r="M21" s="87"/>
      <c r="N21" s="418"/>
      <c r="O21" s="418"/>
      <c r="P21" s="293"/>
      <c r="Q21" s="293"/>
      <c r="R21" s="293"/>
      <c r="S21" s="87"/>
      <c r="T21" s="87"/>
      <c r="U21" s="87"/>
      <c r="V21" s="87"/>
      <c r="W21" s="87"/>
      <c r="X21" s="87"/>
      <c r="Y21" s="87"/>
      <c r="Z21" s="87"/>
      <c r="AA21" s="87"/>
      <c r="AB21" s="87"/>
      <c r="AC21" s="87"/>
      <c r="AD21" s="87"/>
      <c r="AE21" s="87"/>
      <c r="AF21" s="87"/>
      <c r="AG21" s="87"/>
    </row>
    <row r="22" spans="3:33" ht="15" customHeight="1">
      <c r="C22" s="1218" t="str">
        <f>IF(Indice_index!$Z$1=1,"Outras transferências correntes","Other current transfers")</f>
        <v>Outras transferências correntes</v>
      </c>
      <c r="D22" s="1216">
        <v>556.13955604000148</v>
      </c>
      <c r="E22" s="1216">
        <v>560.95950000000084</v>
      </c>
      <c r="F22" s="1216">
        <v>556.13955604000148</v>
      </c>
      <c r="G22" s="1216">
        <v>566.55689448999965</v>
      </c>
      <c r="H22" s="1217">
        <f t="shared" si="2"/>
        <v>100.99782506401955</v>
      </c>
      <c r="I22" s="1217">
        <f>IF(IFERROR((G22-F22)/F22*100,"")&gt;500,"-",IFERROR((G22-F22)/F22*100,""))</f>
        <v>1.8731518621288072</v>
      </c>
      <c r="J22" s="1217">
        <f t="shared" si="3"/>
        <v>0.10049164682734124</v>
      </c>
      <c r="K22" s="117"/>
      <c r="L22" s="293"/>
      <c r="M22" s="87"/>
      <c r="N22" s="418"/>
      <c r="O22" s="418"/>
      <c r="P22" s="293"/>
      <c r="Q22" s="325"/>
      <c r="R22" s="293"/>
      <c r="S22" s="87"/>
      <c r="T22" s="87"/>
      <c r="U22" s="87"/>
      <c r="V22" s="87"/>
      <c r="W22" s="87"/>
      <c r="X22" s="87"/>
      <c r="Y22" s="87"/>
      <c r="Z22" s="87"/>
      <c r="AA22" s="87"/>
      <c r="AB22" s="87"/>
      <c r="AC22" s="87"/>
      <c r="AD22" s="87"/>
      <c r="AE22" s="87"/>
      <c r="AF22" s="87"/>
      <c r="AG22" s="87"/>
    </row>
    <row r="23" spans="3:33" ht="15" customHeight="1">
      <c r="C23" s="1215" t="str">
        <f>IF(Indice_index!$Z$1=1,"Outras receitas correntes","Other current revenue")</f>
        <v>Outras receitas correntes</v>
      </c>
      <c r="D23" s="1216">
        <v>202.10897343999932</v>
      </c>
      <c r="E23" s="1216">
        <v>244.97419999999875</v>
      </c>
      <c r="F23" s="1216">
        <v>202.10897344000023</v>
      </c>
      <c r="G23" s="1216">
        <v>208.8390741799999</v>
      </c>
      <c r="H23" s="1217">
        <f t="shared" si="2"/>
        <v>85.249415726227895</v>
      </c>
      <c r="I23" s="1217">
        <f>IF(IFERROR((G23-F23)/F23*100,"")&gt;500,"-",IFERROR((G23-F23)/F23*100,""))</f>
        <v>3.3299366304473486</v>
      </c>
      <c r="J23" s="1217">
        <f t="shared" si="3"/>
        <v>6.4922428115656905E-2</v>
      </c>
      <c r="K23" s="117"/>
      <c r="L23" s="1208"/>
      <c r="M23" s="87"/>
      <c r="N23" s="418"/>
      <c r="O23" s="418"/>
      <c r="P23" s="293"/>
      <c r="Q23" s="293"/>
      <c r="R23" s="293"/>
      <c r="S23" s="87"/>
      <c r="T23" s="87"/>
      <c r="U23" s="87"/>
      <c r="V23" s="87"/>
      <c r="W23" s="87"/>
      <c r="X23" s="87"/>
      <c r="Y23" s="87"/>
      <c r="Z23" s="87"/>
      <c r="AA23" s="87"/>
      <c r="AB23" s="87"/>
      <c r="AC23" s="87"/>
      <c r="AD23" s="87"/>
      <c r="AE23" s="87"/>
      <c r="AF23" s="87"/>
      <c r="AG23" s="87"/>
    </row>
    <row r="24" spans="3:33" s="290" customFormat="1" ht="15" customHeight="1">
      <c r="C24" s="1213" t="str">
        <f>IF(Indice_index!$Z$1=1,"Receita de capital","Capital revenue")</f>
        <v>Receita de capital</v>
      </c>
      <c r="D24" s="1213">
        <f t="shared" ref="D24:G24" si="9">+D25</f>
        <v>0</v>
      </c>
      <c r="E24" s="1213">
        <f t="shared" si="9"/>
        <v>0</v>
      </c>
      <c r="F24" s="1213">
        <f t="shared" si="9"/>
        <v>0</v>
      </c>
      <c r="G24" s="1213">
        <f t="shared" si="9"/>
        <v>1.511941E-2</v>
      </c>
      <c r="H24" s="1214" t="str">
        <f t="shared" si="2"/>
        <v>-</v>
      </c>
      <c r="I24" s="1214" t="str">
        <f>IF(IFERROR((G24-F24)/F24*100,"")&gt;500,"-",IFERROR((G24-F24)/F24*100,""))</f>
        <v>-</v>
      </c>
      <c r="J24" s="1214">
        <f t="shared" si="3"/>
        <v>1.4585053727980186E-4</v>
      </c>
      <c r="L24" s="293"/>
      <c r="M24" s="293"/>
      <c r="N24" s="418"/>
      <c r="O24" s="418"/>
      <c r="P24" s="293"/>
      <c r="Q24" s="293"/>
      <c r="R24" s="293"/>
      <c r="S24" s="293"/>
      <c r="T24" s="293"/>
      <c r="U24" s="293"/>
      <c r="V24" s="293"/>
      <c r="W24" s="293"/>
      <c r="X24" s="293"/>
      <c r="Y24" s="293"/>
      <c r="Z24" s="293"/>
      <c r="AA24" s="293"/>
      <c r="AB24" s="293"/>
      <c r="AC24" s="293"/>
      <c r="AD24" s="293"/>
      <c r="AE24" s="293"/>
      <c r="AF24" s="293"/>
      <c r="AG24" s="293"/>
    </row>
    <row r="25" spans="3:33" ht="15" customHeight="1">
      <c r="C25" s="1215" t="str">
        <f>IF(Indice_index!$Z$1=1,"Transferências de Capital","Capital transfers")</f>
        <v>Transferências de Capital</v>
      </c>
      <c r="D25" s="1216">
        <v>0</v>
      </c>
      <c r="E25" s="1216">
        <v>0</v>
      </c>
      <c r="F25" s="1216">
        <v>0</v>
      </c>
      <c r="G25" s="1216">
        <v>1.511941E-2</v>
      </c>
      <c r="H25" s="1217" t="str">
        <f t="shared" si="2"/>
        <v>-</v>
      </c>
      <c r="I25" s="1217" t="str">
        <f t="shared" si="8"/>
        <v>-</v>
      </c>
      <c r="J25" s="1217">
        <f t="shared" si="3"/>
        <v>1.4585053727980186E-4</v>
      </c>
      <c r="K25" s="117"/>
      <c r="L25" s="293"/>
      <c r="M25" s="87"/>
      <c r="N25" s="418"/>
      <c r="O25" s="418"/>
      <c r="P25" s="293"/>
      <c r="Q25" s="293"/>
      <c r="R25" s="293"/>
      <c r="S25" s="87"/>
      <c r="T25" s="87"/>
      <c r="U25" s="87"/>
      <c r="V25" s="87"/>
      <c r="W25" s="87"/>
      <c r="X25" s="87"/>
      <c r="Y25" s="87"/>
      <c r="Z25" s="87"/>
      <c r="AA25" s="87"/>
      <c r="AB25" s="87"/>
      <c r="AC25" s="87"/>
      <c r="AD25" s="87"/>
      <c r="AE25" s="87"/>
      <c r="AF25" s="87"/>
      <c r="AG25" s="87"/>
    </row>
    <row r="26" spans="3:33" ht="4.5" customHeight="1">
      <c r="C26" s="1216"/>
      <c r="D26" s="1216"/>
      <c r="E26" s="1216"/>
      <c r="F26" s="1216"/>
      <c r="G26" s="1216"/>
      <c r="H26" s="1217"/>
      <c r="I26" s="1217"/>
      <c r="J26" s="1217"/>
      <c r="K26" s="117"/>
      <c r="L26" s="293"/>
      <c r="M26" s="87"/>
      <c r="N26" s="418"/>
      <c r="O26" s="418"/>
      <c r="P26" s="293"/>
      <c r="Q26" s="293"/>
      <c r="R26" s="293"/>
      <c r="U26" s="87"/>
      <c r="V26" s="87"/>
      <c r="W26" s="87"/>
      <c r="X26" s="87"/>
      <c r="Y26" s="87"/>
      <c r="Z26" s="87"/>
      <c r="AA26" s="87"/>
      <c r="AB26" s="87"/>
      <c r="AC26" s="87"/>
      <c r="AD26" s="87"/>
      <c r="AE26" s="87"/>
      <c r="AF26" s="87"/>
      <c r="AG26" s="87"/>
    </row>
    <row r="27" spans="3:33" s="290" customFormat="1" ht="15" customHeight="1">
      <c r="C27" s="806" t="str">
        <f>IF(Indice_index!$Z$1=1,"Receita Efectiva","Effective revenue")</f>
        <v>Receita Efectiva</v>
      </c>
      <c r="D27" s="806">
        <f>+D8+D24</f>
        <v>10366.37250845</v>
      </c>
      <c r="E27" s="806">
        <f>+E8+E24</f>
        <v>10352.569979999998</v>
      </c>
      <c r="F27" s="806">
        <f>+F8+F24</f>
        <v>10366.37250845</v>
      </c>
      <c r="G27" s="806">
        <f>+G8+G24</f>
        <v>10611.479084519999</v>
      </c>
      <c r="H27" s="1223">
        <f>IFERROR(IF(G27/E27*100&lt;-500,"-",IF(G27/E27*100&gt;500,"-",G27/E27*100)),"-")</f>
        <v>102.50091624611264</v>
      </c>
      <c r="I27" s="1223">
        <f t="shared" ref="I27:I45" si="10">IF(F27=0,"-",(G27-F27)/F27*100)</f>
        <v>2.3644392083171173</v>
      </c>
      <c r="J27" s="1223"/>
      <c r="L27" s="293"/>
      <c r="M27" s="293"/>
      <c r="N27" s="418"/>
      <c r="O27" s="418"/>
      <c r="P27" s="293"/>
      <c r="Q27" s="293"/>
      <c r="R27" s="293"/>
      <c r="U27" s="293"/>
      <c r="V27" s="293"/>
      <c r="W27" s="293"/>
      <c r="X27" s="293"/>
      <c r="Y27" s="293"/>
      <c r="Z27" s="293"/>
      <c r="AA27" s="293"/>
      <c r="AB27" s="293"/>
      <c r="AC27" s="293"/>
      <c r="AD27" s="293"/>
      <c r="AE27" s="293"/>
      <c r="AF27" s="293"/>
      <c r="AG27" s="293"/>
    </row>
    <row r="28" spans="3:33" ht="4.5" customHeight="1">
      <c r="C28" s="1224"/>
      <c r="D28" s="1216"/>
      <c r="E28" s="1216"/>
      <c r="F28" s="1216"/>
      <c r="G28" s="1216"/>
      <c r="H28" s="1217"/>
      <c r="I28" s="1217"/>
      <c r="J28" s="1217"/>
      <c r="K28" s="117"/>
      <c r="L28" s="293"/>
      <c r="M28" s="87"/>
      <c r="N28" s="418"/>
      <c r="O28" s="418"/>
      <c r="P28" s="293"/>
      <c r="Q28" s="293"/>
      <c r="R28" s="293"/>
      <c r="U28" s="87"/>
      <c r="V28" s="87"/>
      <c r="W28" s="87"/>
      <c r="X28" s="87"/>
      <c r="Y28" s="87"/>
      <c r="Z28" s="87"/>
      <c r="AA28" s="87"/>
      <c r="AB28" s="87"/>
      <c r="AC28" s="87"/>
      <c r="AD28" s="87"/>
      <c r="AE28" s="87"/>
      <c r="AF28" s="87"/>
      <c r="AG28" s="87"/>
    </row>
    <row r="29" spans="3:33" s="290" customFormat="1" ht="15" customHeight="1">
      <c r="C29" s="1213" t="str">
        <f>IF(Indice_index!$Z$1=1,"Despesa Corrente","Current expenditure")</f>
        <v>Despesa Corrente</v>
      </c>
      <c r="D29" s="1213">
        <f t="shared" ref="D29:E29" si="11">+D30+D34+D35+D36+D42</f>
        <v>10285.655430229999</v>
      </c>
      <c r="E29" s="1213">
        <f t="shared" si="11"/>
        <v>10443.5705</v>
      </c>
      <c r="F29" s="1213">
        <f t="shared" ref="F29:G29" si="12">+F30+F34+F35+F36+F42</f>
        <v>10285.655430229999</v>
      </c>
      <c r="G29" s="1213">
        <f t="shared" si="12"/>
        <v>10807.872828739999</v>
      </c>
      <c r="H29" s="1214">
        <f t="shared" ref="H29:H45" si="13">IFERROR(IF(G29/E29*100&lt;-500,"-",IF(G29/E29*100&gt;500,"-",G29/E29*100)),"-")</f>
        <v>103.48829290461532</v>
      </c>
      <c r="I29" s="1214">
        <f t="shared" ref="I29:I43" si="14">IF(IFERROR((G29-F29)/F29*100,"")&gt;500,"-",IFERROR((G29-F29)/F29*100,""))</f>
        <v>5.0771426483447968</v>
      </c>
      <c r="J29" s="1214">
        <f>IFERROR((G29-F29)/$F$45*100,"-")</f>
        <v>5.0771426483447968</v>
      </c>
      <c r="L29" s="293"/>
      <c r="M29" s="293"/>
      <c r="N29" s="418"/>
      <c r="O29" s="418"/>
      <c r="P29" s="293"/>
      <c r="Q29" s="293"/>
      <c r="R29" s="293"/>
      <c r="U29" s="293"/>
      <c r="V29" s="293"/>
      <c r="W29" s="293"/>
      <c r="X29" s="293"/>
      <c r="Y29" s="293"/>
      <c r="Z29" s="293"/>
      <c r="AA29" s="293"/>
      <c r="AB29" s="293"/>
      <c r="AC29" s="293"/>
      <c r="AD29" s="293"/>
      <c r="AE29" s="293"/>
      <c r="AF29" s="293"/>
      <c r="AG29" s="293"/>
    </row>
    <row r="30" spans="3:33" ht="15" customHeight="1">
      <c r="C30" s="1215" t="str">
        <f>IF(Indice_index!$Z$1=1,"Despesas com o pessoal","Employees")</f>
        <v>Despesas com o pessoal</v>
      </c>
      <c r="D30" s="1216">
        <f t="shared" ref="D30:E30" si="15">+D31+D32+D33</f>
        <v>7.6524922199999992</v>
      </c>
      <c r="E30" s="1216">
        <f t="shared" si="15"/>
        <v>8.0451999999999995</v>
      </c>
      <c r="F30" s="1216">
        <f t="shared" ref="F30:G30" si="16">+F31+F32+F33</f>
        <v>7.6524922199999992</v>
      </c>
      <c r="G30" s="1216">
        <f t="shared" si="16"/>
        <v>7.5577575900000005</v>
      </c>
      <c r="H30" s="1217">
        <f t="shared" si="13"/>
        <v>93.941202083229769</v>
      </c>
      <c r="I30" s="1217">
        <f t="shared" si="14"/>
        <v>-1.2379578740688837</v>
      </c>
      <c r="J30" s="1217">
        <f t="shared" ref="J30:J43" si="17">IFERROR((G30-F30)/$F$45*100,"-")</f>
        <v>-9.2103639522639867E-4</v>
      </c>
      <c r="K30" s="117"/>
      <c r="L30" s="293"/>
      <c r="M30" s="87"/>
      <c r="N30" s="418"/>
      <c r="O30" s="418"/>
      <c r="P30" s="293"/>
      <c r="Q30" s="293"/>
      <c r="R30" s="293"/>
      <c r="U30" s="87"/>
      <c r="V30" s="87"/>
      <c r="W30" s="87"/>
      <c r="X30" s="87"/>
      <c r="Y30" s="87"/>
      <c r="Z30" s="87"/>
      <c r="AA30" s="87"/>
      <c r="AB30" s="87"/>
      <c r="AC30" s="87"/>
      <c r="AD30" s="87"/>
      <c r="AE30" s="87"/>
      <c r="AF30" s="87"/>
      <c r="AG30" s="87"/>
    </row>
    <row r="31" spans="3:33" ht="15" customHeight="1">
      <c r="C31" s="1218" t="str">
        <f>IF(Indice_index!$Z$1=1,"Remunerações Certas e Permanentes","Certain and permanent wages")</f>
        <v>Remunerações Certas e Permanentes</v>
      </c>
      <c r="D31" s="1216">
        <v>7.8590489999999985E-2</v>
      </c>
      <c r="E31" s="1216">
        <v>0.11119999999999999</v>
      </c>
      <c r="F31" s="1216">
        <v>7.8590489999999985E-2</v>
      </c>
      <c r="G31" s="1216">
        <v>1.339044E-2</v>
      </c>
      <c r="H31" s="1217">
        <f t="shared" si="13"/>
        <v>12.041762589928059</v>
      </c>
      <c r="I31" s="1217">
        <f t="shared" si="14"/>
        <v>-82.961755296346922</v>
      </c>
      <c r="J31" s="1217">
        <f t="shared" si="17"/>
        <v>-6.3389300217440818E-4</v>
      </c>
      <c r="K31" s="117"/>
      <c r="L31" s="293"/>
      <c r="M31" s="87"/>
      <c r="N31" s="418"/>
      <c r="O31" s="418"/>
      <c r="P31" s="293"/>
      <c r="Q31" s="293"/>
      <c r="R31" s="293"/>
      <c r="U31" s="87"/>
      <c r="V31" s="87"/>
      <c r="W31" s="87"/>
      <c r="X31" s="87"/>
      <c r="Y31" s="87"/>
      <c r="Z31" s="87"/>
      <c r="AA31" s="87"/>
      <c r="AB31" s="87"/>
      <c r="AC31" s="87"/>
      <c r="AD31" s="87"/>
      <c r="AE31" s="87"/>
      <c r="AF31" s="87"/>
      <c r="AG31" s="87"/>
    </row>
    <row r="32" spans="3:33" ht="15" customHeight="1">
      <c r="C32" s="1218" t="str">
        <f>IF(Indice_index!$Z$1=1,"Abonos Variáveis ou Eventuais","Variable or contingent bonuses")</f>
        <v>Abonos Variáveis ou Eventuais</v>
      </c>
      <c r="D32" s="1216">
        <v>0</v>
      </c>
      <c r="E32" s="1216">
        <v>0</v>
      </c>
      <c r="F32" s="1216">
        <v>0</v>
      </c>
      <c r="G32" s="1216">
        <v>0</v>
      </c>
      <c r="H32" s="1217" t="str">
        <f t="shared" si="13"/>
        <v>-</v>
      </c>
      <c r="I32" s="1217" t="str">
        <f t="shared" si="14"/>
        <v>-</v>
      </c>
      <c r="J32" s="1217">
        <f t="shared" si="17"/>
        <v>0</v>
      </c>
      <c r="K32" s="117"/>
      <c r="L32" s="293"/>
      <c r="M32" s="87"/>
      <c r="N32" s="418"/>
      <c r="O32" s="418"/>
      <c r="P32" s="293"/>
      <c r="Q32" s="293"/>
      <c r="R32" s="293"/>
      <c r="U32" s="87"/>
      <c r="V32" s="87"/>
      <c r="W32" s="87"/>
      <c r="X32" s="87"/>
      <c r="Y32" s="87"/>
      <c r="Z32" s="87"/>
      <c r="AA32" s="87"/>
      <c r="AB32" s="87"/>
      <c r="AC32" s="87"/>
      <c r="AD32" s="87"/>
      <c r="AE32" s="87"/>
      <c r="AF32" s="87"/>
      <c r="AG32" s="87"/>
    </row>
    <row r="33" spans="3:33" ht="15" customHeight="1">
      <c r="C33" s="1218" t="str">
        <f>IF(Indice_index!$Z$1=1,"Segurança social","Social security")</f>
        <v>Segurança social</v>
      </c>
      <c r="D33" s="1216">
        <v>7.5739017299999993</v>
      </c>
      <c r="E33" s="1216">
        <v>7.9340000000000002</v>
      </c>
      <c r="F33" s="1216">
        <v>7.5739017299999993</v>
      </c>
      <c r="G33" s="1216">
        <v>7.5443671500000002</v>
      </c>
      <c r="H33" s="1217">
        <f t="shared" si="13"/>
        <v>95.08907423745903</v>
      </c>
      <c r="I33" s="1217">
        <f t="shared" si="14"/>
        <v>-0.38995198317682805</v>
      </c>
      <c r="J33" s="1217">
        <f t="shared" si="17"/>
        <v>-2.8714339305199401E-4</v>
      </c>
      <c r="K33" s="117"/>
      <c r="L33" s="293"/>
      <c r="M33" s="87"/>
      <c r="N33" s="418"/>
      <c r="O33" s="418"/>
      <c r="P33" s="293"/>
      <c r="Q33" s="293"/>
      <c r="R33" s="293"/>
      <c r="U33" s="87"/>
      <c r="V33" s="87"/>
      <c r="W33" s="87"/>
      <c r="X33" s="87"/>
      <c r="Y33" s="87"/>
      <c r="Z33" s="87"/>
      <c r="AA33" s="87"/>
      <c r="AB33" s="87"/>
      <c r="AC33" s="87"/>
      <c r="AD33" s="87"/>
      <c r="AE33" s="87"/>
      <c r="AF33" s="87"/>
      <c r="AG33" s="87"/>
    </row>
    <row r="34" spans="3:33" ht="15" customHeight="1">
      <c r="C34" s="1215" t="str">
        <f>IF(Indice_index!$Z$1=1,"Aquisição de bens e serviços","Purchase of goods and services")</f>
        <v>Aquisição de bens e serviços</v>
      </c>
      <c r="D34" s="1216">
        <v>21.20756514</v>
      </c>
      <c r="E34" s="1216">
        <v>33.057099999999998</v>
      </c>
      <c r="F34" s="1216">
        <v>21.20756514</v>
      </c>
      <c r="G34" s="1216">
        <v>20.300318280000003</v>
      </c>
      <c r="H34" s="1217">
        <f t="shared" si="13"/>
        <v>61.409858336030695</v>
      </c>
      <c r="I34" s="1217">
        <f t="shared" si="14"/>
        <v>-4.2779397540966233</v>
      </c>
      <c r="J34" s="1217">
        <f t="shared" si="17"/>
        <v>-8.8205060548067586E-3</v>
      </c>
      <c r="K34" s="117"/>
      <c r="L34" s="293"/>
      <c r="M34" s="87"/>
      <c r="N34" s="418"/>
      <c r="O34" s="418"/>
      <c r="P34" s="293"/>
      <c r="Q34" s="293"/>
      <c r="R34" s="293"/>
      <c r="U34" s="87"/>
      <c r="V34" s="87"/>
      <c r="W34" s="87"/>
      <c r="X34" s="87"/>
      <c r="Y34" s="87"/>
      <c r="Z34" s="87"/>
      <c r="AA34" s="87"/>
      <c r="AB34" s="87"/>
      <c r="AC34" s="87"/>
      <c r="AD34" s="87"/>
      <c r="AE34" s="87"/>
      <c r="AF34" s="87"/>
      <c r="AG34" s="87"/>
    </row>
    <row r="35" spans="3:33" ht="15" customHeight="1">
      <c r="C35" s="1215" t="str">
        <f>IF(Indice_index!$Z$1=1,"Juros e outros encargos","Interests and other charges")</f>
        <v>Juros e outros encargos</v>
      </c>
      <c r="D35" s="1216">
        <v>0.47930070000000002</v>
      </c>
      <c r="E35" s="1216">
        <v>2.2999999999999998</v>
      </c>
      <c r="F35" s="1216">
        <v>0.47930070000000002</v>
      </c>
      <c r="G35" s="1216">
        <v>0.43514171000000001</v>
      </c>
      <c r="H35" s="1217">
        <f t="shared" si="13"/>
        <v>18.919204782608698</v>
      </c>
      <c r="I35" s="1217">
        <f t="shared" si="14"/>
        <v>-9.2132120816848389</v>
      </c>
      <c r="J35" s="1217">
        <f t="shared" si="17"/>
        <v>-4.2932597051826931E-4</v>
      </c>
      <c r="K35" s="117"/>
      <c r="L35" s="293"/>
      <c r="M35" s="87"/>
      <c r="N35" s="418"/>
      <c r="O35" s="418"/>
      <c r="P35" s="293"/>
      <c r="Q35" s="293"/>
      <c r="R35" s="293"/>
      <c r="U35" s="87"/>
      <c r="V35" s="87"/>
      <c r="W35" s="87"/>
      <c r="X35" s="87"/>
      <c r="Y35" s="87"/>
      <c r="Z35" s="87"/>
      <c r="AA35" s="87"/>
      <c r="AB35" s="87"/>
      <c r="AC35" s="87"/>
      <c r="AD35" s="87"/>
      <c r="AE35" s="87"/>
      <c r="AF35" s="87"/>
      <c r="AG35" s="87"/>
    </row>
    <row r="36" spans="3:33" ht="15" customHeight="1">
      <c r="C36" s="1215" t="str">
        <f>IF(Indice_index!$Z$1=1,"Transferências","Transfers")</f>
        <v>Transferências</v>
      </c>
      <c r="D36" s="1216">
        <f t="shared" ref="D36:E36" si="18">+D38+D39+D40+D41</f>
        <v>10253.553413249998</v>
      </c>
      <c r="E36" s="1216">
        <f t="shared" si="18"/>
        <v>10396.468199999999</v>
      </c>
      <c r="F36" s="1216">
        <f t="shared" ref="F36:G36" si="19">+F38+F39+F40+F41</f>
        <v>10253.553413249998</v>
      </c>
      <c r="G36" s="1216">
        <f t="shared" si="19"/>
        <v>10777.8056562</v>
      </c>
      <c r="H36" s="1217">
        <f t="shared" si="13"/>
        <v>103.66795193198399</v>
      </c>
      <c r="I36" s="1217">
        <f t="shared" si="14"/>
        <v>5.1128835226288016</v>
      </c>
      <c r="J36" s="1217">
        <f t="shared" si="17"/>
        <v>5.0969259713795347</v>
      </c>
      <c r="K36" s="117"/>
      <c r="L36" s="293"/>
      <c r="M36" s="87"/>
      <c r="N36" s="418"/>
      <c r="O36" s="418"/>
      <c r="P36" s="293"/>
      <c r="Q36" s="293"/>
      <c r="R36" s="293"/>
      <c r="U36" s="87"/>
      <c r="V36" s="87"/>
      <c r="W36" s="87"/>
      <c r="X36" s="87"/>
      <c r="Y36" s="87"/>
      <c r="Z36" s="87"/>
      <c r="AA36" s="87"/>
      <c r="AB36" s="87"/>
      <c r="AC36" s="87"/>
      <c r="AD36" s="87"/>
      <c r="AE36" s="87"/>
      <c r="AF36" s="87"/>
      <c r="AG36" s="87"/>
    </row>
    <row r="37" spans="3:33" ht="15" customHeight="1">
      <c r="C37" s="1218" t="str">
        <f>IF(Indice_index!$Z$1=1,"Pensões e abonos da responsabilidade de:","Liability for pensions and allowances from:")</f>
        <v>Pensões e abonos da responsabilidade de:</v>
      </c>
      <c r="D37" s="1216"/>
      <c r="E37" s="1216"/>
      <c r="F37" s="1216"/>
      <c r="G37" s="1216"/>
      <c r="H37" s="1217"/>
      <c r="I37" s="1217"/>
      <c r="J37" s="1217">
        <f t="shared" si="17"/>
        <v>0</v>
      </c>
      <c r="K37" s="117"/>
      <c r="L37" s="293"/>
      <c r="M37" s="87"/>
      <c r="N37" s="418"/>
      <c r="O37" s="418"/>
      <c r="P37" s="293"/>
      <c r="Q37" s="293"/>
      <c r="R37" s="293"/>
      <c r="U37" s="87"/>
      <c r="V37" s="87"/>
      <c r="W37" s="87"/>
      <c r="X37" s="87"/>
      <c r="Y37" s="87"/>
      <c r="Z37" s="87"/>
      <c r="AA37" s="87"/>
      <c r="AB37" s="87"/>
      <c r="AC37" s="87"/>
      <c r="AD37" s="87"/>
      <c r="AE37" s="87"/>
      <c r="AF37" s="87"/>
      <c r="AG37" s="87"/>
    </row>
    <row r="38" spans="3:33" ht="15" customHeight="1">
      <c r="C38" s="1221" t="str">
        <f>IF(Indice_index!$Z$1=1,"Caixa Geral de Aposentações","Public Servants Social Scheme")</f>
        <v>Caixa Geral de Aposentações</v>
      </c>
      <c r="D38" s="1216">
        <v>9004.9276782299985</v>
      </c>
      <c r="E38" s="1216">
        <v>9120.4658999999992</v>
      </c>
      <c r="F38" s="1216">
        <v>9004.9276782299985</v>
      </c>
      <c r="G38" s="1216">
        <v>9146.0336450600007</v>
      </c>
      <c r="H38" s="1217">
        <f t="shared" si="13"/>
        <v>100.28033376080054</v>
      </c>
      <c r="I38" s="1217">
        <f t="shared" si="14"/>
        <v>1.566986119956689</v>
      </c>
      <c r="J38" s="1217">
        <f t="shared" si="17"/>
        <v>1.3718714163346897</v>
      </c>
      <c r="K38" s="117"/>
      <c r="L38" s="293"/>
      <c r="M38" s="87"/>
      <c r="N38" s="418"/>
      <c r="O38" s="418"/>
      <c r="P38" s="293"/>
      <c r="Q38" s="293"/>
      <c r="R38" s="293"/>
      <c r="U38" s="87"/>
      <c r="V38" s="87"/>
      <c r="W38" s="87"/>
      <c r="X38" s="87"/>
      <c r="Y38" s="87"/>
      <c r="Z38" s="87"/>
      <c r="AA38" s="87"/>
      <c r="AB38" s="87"/>
      <c r="AC38" s="87"/>
      <c r="AD38" s="87"/>
      <c r="AE38" s="87"/>
      <c r="AF38" s="87"/>
      <c r="AG38" s="87"/>
    </row>
    <row r="39" spans="3:33" ht="15" customHeight="1">
      <c r="C39" s="1221" t="str">
        <f>IF(Indice_index!$Z$1=1,"Orçamento do Estado","State Budget")</f>
        <v>Orçamento do Estado</v>
      </c>
      <c r="D39" s="1216">
        <v>396.60070667000002</v>
      </c>
      <c r="E39" s="1216">
        <v>411.79729999999995</v>
      </c>
      <c r="F39" s="1216">
        <v>396.60070667000002</v>
      </c>
      <c r="G39" s="1216">
        <v>758.14087546999997</v>
      </c>
      <c r="H39" s="1217">
        <f t="shared" si="13"/>
        <v>184.10535364607782</v>
      </c>
      <c r="I39" s="1217">
        <f t="shared" si="14"/>
        <v>91.159738931284124</v>
      </c>
      <c r="J39" s="1217">
        <f t="shared" si="17"/>
        <v>3.5149939763431828</v>
      </c>
      <c r="K39" s="117"/>
      <c r="L39" s="293"/>
      <c r="M39" s="87"/>
      <c r="N39" s="418"/>
      <c r="O39" s="418"/>
      <c r="P39" s="293"/>
      <c r="Q39" s="293"/>
      <c r="R39" s="293"/>
      <c r="U39" s="87"/>
      <c r="V39" s="87"/>
      <c r="W39" s="87"/>
      <c r="X39" s="87"/>
      <c r="Y39" s="87"/>
      <c r="Z39" s="87"/>
      <c r="AA39" s="87"/>
      <c r="AB39" s="87"/>
      <c r="AC39" s="87"/>
      <c r="AD39" s="87"/>
      <c r="AE39" s="87"/>
      <c r="AF39" s="87"/>
      <c r="AG39" s="87"/>
    </row>
    <row r="40" spans="3:33" ht="15" customHeight="1">
      <c r="C40" s="1221" t="str">
        <f>IF(Indice_index!$Z$1=1,"Outras entidades","Other entities")</f>
        <v>Outras entidades</v>
      </c>
      <c r="D40" s="1216">
        <v>660.48834474</v>
      </c>
      <c r="E40" s="1216">
        <v>669.56919999999991</v>
      </c>
      <c r="F40" s="1216">
        <v>660.48834474</v>
      </c>
      <c r="G40" s="1216">
        <v>673.24715441000001</v>
      </c>
      <c r="H40" s="1217">
        <f t="shared" si="13"/>
        <v>100.54930161214108</v>
      </c>
      <c r="I40" s="1217">
        <f t="shared" si="14"/>
        <v>1.9317236665277546</v>
      </c>
      <c r="J40" s="1217">
        <f t="shared" si="17"/>
        <v>0.12404469269407271</v>
      </c>
      <c r="K40" s="117"/>
      <c r="L40" s="293"/>
      <c r="M40" s="87"/>
      <c r="N40" s="418"/>
      <c r="O40" s="418"/>
      <c r="P40" s="293"/>
      <c r="Q40" s="293"/>
      <c r="R40" s="293"/>
      <c r="U40" s="87"/>
      <c r="V40" s="87"/>
      <c r="W40" s="87"/>
      <c r="X40" s="87"/>
      <c r="Y40" s="87"/>
      <c r="Z40" s="87"/>
      <c r="AA40" s="87"/>
      <c r="AB40" s="87"/>
      <c r="AC40" s="87"/>
      <c r="AD40" s="87"/>
      <c r="AE40" s="87"/>
      <c r="AF40" s="87"/>
      <c r="AG40" s="87"/>
    </row>
    <row r="41" spans="3:33" ht="15" customHeight="1">
      <c r="C41" s="1218" t="str">
        <f>IF(Indice_index!$Z$1=1,"Outras transferências correntes","Other current transfers")</f>
        <v>Outras transferências correntes</v>
      </c>
      <c r="D41" s="1216">
        <v>191.53668360999757</v>
      </c>
      <c r="E41" s="1216">
        <v>194.63580000000024</v>
      </c>
      <c r="F41" s="1225">
        <v>191.53668360999757</v>
      </c>
      <c r="G41" s="1225">
        <v>200.38398125999765</v>
      </c>
      <c r="H41" s="1217">
        <f t="shared" si="13"/>
        <v>102.95330111931997</v>
      </c>
      <c r="I41" s="1217">
        <f t="shared" si="14"/>
        <v>4.6191139385156861</v>
      </c>
      <c r="J41" s="1217">
        <f t="shared" si="17"/>
        <v>8.6015886007589609E-2</v>
      </c>
      <c r="K41" s="117"/>
      <c r="L41" s="293"/>
      <c r="M41" s="87"/>
      <c r="N41" s="418"/>
      <c r="O41" s="418"/>
      <c r="P41" s="293"/>
      <c r="Q41" s="293"/>
      <c r="R41" s="293"/>
      <c r="U41" s="87"/>
      <c r="V41" s="87"/>
      <c r="W41" s="87"/>
      <c r="X41" s="87"/>
      <c r="Y41" s="87"/>
      <c r="Z41" s="87"/>
      <c r="AA41" s="87"/>
      <c r="AB41" s="87"/>
      <c r="AC41" s="87"/>
      <c r="AD41" s="87"/>
      <c r="AE41" s="87"/>
      <c r="AF41" s="87"/>
      <c r="AG41" s="87"/>
    </row>
    <row r="42" spans="3:33" ht="15" customHeight="1">
      <c r="C42" s="1215" t="str">
        <f>IF(Indice_index!$Z$1=1,"Outras despesas correntes","Other current expenditure")</f>
        <v>Outras despesas correntes</v>
      </c>
      <c r="D42" s="1216">
        <v>2.7626589199999998</v>
      </c>
      <c r="E42" s="1216">
        <v>3.7</v>
      </c>
      <c r="F42" s="1216">
        <v>2.7626589199999998</v>
      </c>
      <c r="G42" s="1216">
        <v>1.77395496</v>
      </c>
      <c r="H42" s="1217">
        <f t="shared" si="13"/>
        <v>47.944728648648642</v>
      </c>
      <c r="I42" s="1217">
        <f t="shared" si="14"/>
        <v>-35.788129792004867</v>
      </c>
      <c r="J42" s="1217">
        <f t="shared" si="17"/>
        <v>-9.612454614162505E-3</v>
      </c>
      <c r="K42" s="117"/>
      <c r="L42" s="293"/>
      <c r="M42" s="87"/>
      <c r="N42" s="418"/>
      <c r="O42" s="418"/>
      <c r="P42" s="293"/>
      <c r="Q42" s="293"/>
      <c r="R42" s="293"/>
      <c r="U42" s="87"/>
      <c r="V42" s="87"/>
      <c r="W42" s="87"/>
      <c r="X42" s="87"/>
      <c r="Y42" s="87"/>
      <c r="Z42" s="87"/>
      <c r="AA42" s="87"/>
      <c r="AB42" s="87"/>
      <c r="AC42" s="87"/>
      <c r="AD42" s="87"/>
      <c r="AE42" s="87"/>
      <c r="AF42" s="87"/>
      <c r="AG42" s="87"/>
    </row>
    <row r="43" spans="3:33" s="290" customFormat="1" ht="15" customHeight="1">
      <c r="C43" s="1213" t="str">
        <f>IF(Indice_index!$Z$1=1,"Despesa de Capital","Capital expenditure")</f>
        <v>Despesa de Capital</v>
      </c>
      <c r="D43" s="1213">
        <v>0</v>
      </c>
      <c r="E43" s="1213">
        <v>0</v>
      </c>
      <c r="F43" s="1213">
        <v>0</v>
      </c>
      <c r="G43" s="1213">
        <v>0</v>
      </c>
      <c r="H43" s="1214" t="str">
        <f t="shared" si="13"/>
        <v>-</v>
      </c>
      <c r="I43" s="1214" t="str">
        <f t="shared" si="14"/>
        <v>-</v>
      </c>
      <c r="J43" s="1214">
        <f t="shared" si="17"/>
        <v>0</v>
      </c>
      <c r="L43" s="293"/>
      <c r="M43" s="293"/>
      <c r="N43" s="418"/>
      <c r="O43" s="418"/>
      <c r="P43" s="293"/>
      <c r="Q43" s="293"/>
      <c r="R43" s="293"/>
      <c r="S43" s="293"/>
      <c r="T43" s="293"/>
      <c r="U43" s="293"/>
      <c r="V43" s="293"/>
      <c r="W43" s="293"/>
      <c r="X43" s="293"/>
      <c r="Y43" s="293"/>
      <c r="Z43" s="293"/>
      <c r="AA43" s="293"/>
      <c r="AB43" s="293"/>
      <c r="AC43" s="293"/>
      <c r="AD43" s="293"/>
      <c r="AE43" s="293"/>
      <c r="AF43" s="293"/>
      <c r="AG43" s="293"/>
    </row>
    <row r="44" spans="3:33" ht="4.5" customHeight="1">
      <c r="C44" s="1224"/>
      <c r="D44" s="1224"/>
      <c r="E44" s="1224"/>
      <c r="F44" s="1224"/>
      <c r="G44" s="1224"/>
      <c r="H44" s="1226"/>
      <c r="I44" s="1226"/>
      <c r="J44" s="1226"/>
      <c r="K44" s="117"/>
      <c r="L44" s="293"/>
      <c r="M44" s="87"/>
      <c r="N44" s="418"/>
      <c r="O44" s="418"/>
      <c r="P44" s="293"/>
      <c r="Q44" s="293"/>
      <c r="R44" s="293"/>
      <c r="U44" s="87"/>
      <c r="V44" s="87"/>
      <c r="W44" s="87"/>
      <c r="X44" s="87"/>
      <c r="Y44" s="87"/>
      <c r="Z44" s="87"/>
      <c r="AA44" s="87"/>
      <c r="AB44" s="87"/>
      <c r="AC44" s="87"/>
      <c r="AD44" s="87"/>
      <c r="AE44" s="87"/>
      <c r="AF44" s="87"/>
      <c r="AG44" s="87"/>
    </row>
    <row r="45" spans="3:33" s="290" customFormat="1" ht="15" customHeight="1">
      <c r="C45" s="806" t="str">
        <f>IF(Indice_index!$Z$1=1,"Despesa efectiva","Effective expenditure")</f>
        <v>Despesa efectiva</v>
      </c>
      <c r="D45" s="806">
        <f t="shared" ref="D45:E45" si="20">+D29+D43</f>
        <v>10285.655430229999</v>
      </c>
      <c r="E45" s="806">
        <f t="shared" si="20"/>
        <v>10443.5705</v>
      </c>
      <c r="F45" s="806">
        <f t="shared" ref="F45:G45" si="21">+F29+F43</f>
        <v>10285.655430229999</v>
      </c>
      <c r="G45" s="806">
        <f t="shared" si="21"/>
        <v>10807.872828739999</v>
      </c>
      <c r="H45" s="1223">
        <f t="shared" si="13"/>
        <v>103.48829290461532</v>
      </c>
      <c r="I45" s="1223">
        <f t="shared" si="10"/>
        <v>5.0771426483447968</v>
      </c>
      <c r="J45" s="1223"/>
      <c r="L45" s="293"/>
      <c r="M45" s="293"/>
      <c r="N45" s="418"/>
      <c r="O45" s="418"/>
      <c r="P45" s="293"/>
      <c r="Q45" s="293"/>
      <c r="R45" s="293"/>
      <c r="U45" s="293"/>
      <c r="V45" s="293"/>
      <c r="W45" s="293"/>
      <c r="X45" s="293"/>
      <c r="Y45" s="293"/>
      <c r="Z45" s="293"/>
      <c r="AA45" s="293"/>
      <c r="AB45" s="293"/>
      <c r="AC45" s="293"/>
      <c r="AD45" s="293"/>
      <c r="AE45" s="293"/>
      <c r="AF45" s="293"/>
      <c r="AG45" s="293"/>
    </row>
    <row r="46" spans="3:33" ht="4.5" customHeight="1">
      <c r="C46" s="1216"/>
      <c r="D46" s="1216"/>
      <c r="E46" s="1216"/>
      <c r="F46" s="1216"/>
      <c r="G46" s="1216"/>
      <c r="H46" s="1216"/>
      <c r="I46" s="1216"/>
      <c r="J46" s="1216"/>
      <c r="K46" s="117"/>
      <c r="L46" s="293"/>
      <c r="M46" s="87"/>
      <c r="N46" s="418"/>
      <c r="O46" s="418"/>
      <c r="P46" s="293"/>
      <c r="Q46" s="293"/>
      <c r="R46" s="293"/>
      <c r="U46" s="87"/>
      <c r="V46" s="87"/>
      <c r="W46" s="87"/>
      <c r="X46" s="87"/>
      <c r="Y46" s="87"/>
      <c r="Z46" s="87"/>
      <c r="AA46" s="87"/>
      <c r="AB46" s="87"/>
      <c r="AC46" s="87"/>
      <c r="AD46" s="87"/>
      <c r="AE46" s="87"/>
      <c r="AF46" s="87"/>
      <c r="AG46" s="87"/>
    </row>
    <row r="47" spans="3:33" s="290" customFormat="1" ht="15" customHeight="1">
      <c r="C47" s="806" t="str">
        <f>IF(Indice_index!$Z$1=1,"Saldo global","Overall balance")</f>
        <v>Saldo global</v>
      </c>
      <c r="D47" s="806">
        <f t="shared" ref="D47:E47" si="22">+D27-D45</f>
        <v>80.717078220000985</v>
      </c>
      <c r="E47" s="806">
        <f t="shared" si="22"/>
        <v>-91.000520000001416</v>
      </c>
      <c r="F47" s="806">
        <f t="shared" ref="F47:G47" si="23">+F27-F45</f>
        <v>80.717078220000985</v>
      </c>
      <c r="G47" s="806">
        <f t="shared" si="23"/>
        <v>-196.39374422000037</v>
      </c>
      <c r="H47" s="806"/>
      <c r="I47" s="806"/>
      <c r="J47" s="1227"/>
      <c r="L47" s="293"/>
      <c r="M47" s="293"/>
      <c r="N47" s="418"/>
      <c r="O47" s="418"/>
      <c r="P47" s="293"/>
      <c r="Q47" s="293"/>
      <c r="R47" s="293"/>
      <c r="U47" s="293"/>
      <c r="V47" s="293"/>
      <c r="W47" s="293"/>
      <c r="X47" s="293"/>
      <c r="Y47" s="293"/>
      <c r="Z47" s="293"/>
      <c r="AA47" s="293"/>
      <c r="AB47" s="293"/>
      <c r="AC47" s="293"/>
      <c r="AD47" s="293"/>
      <c r="AE47" s="293"/>
      <c r="AF47" s="293"/>
      <c r="AG47" s="293"/>
    </row>
    <row r="48" spans="3:33" ht="4.5" customHeight="1">
      <c r="C48" s="1228"/>
      <c r="D48" s="1211"/>
      <c r="E48" s="1211"/>
      <c r="F48" s="1211"/>
      <c r="G48" s="1211"/>
      <c r="H48" s="1229"/>
      <c r="I48" s="1229"/>
      <c r="J48" s="1229"/>
      <c r="K48" s="117"/>
      <c r="L48" s="293"/>
      <c r="M48" s="87"/>
      <c r="N48" s="418"/>
      <c r="O48" s="418"/>
      <c r="P48" s="293"/>
      <c r="Q48" s="293"/>
      <c r="R48" s="293"/>
      <c r="U48" s="87"/>
      <c r="V48" s="87"/>
      <c r="W48" s="87"/>
      <c r="X48" s="87"/>
      <c r="Y48" s="87"/>
      <c r="Z48" s="87"/>
      <c r="AA48" s="87"/>
      <c r="AB48" s="87"/>
      <c r="AC48" s="87"/>
      <c r="AD48" s="87"/>
      <c r="AE48" s="87"/>
      <c r="AF48" s="87"/>
      <c r="AG48" s="87"/>
    </row>
    <row r="49" spans="3:33" ht="15" customHeight="1">
      <c r="C49" s="1216" t="str">
        <f>IF(Indice_index!$Z$1=1,"Ativos financeiros líquidos de reembolsos","Financial assets net of reimbursements")</f>
        <v>Ativos financeiros líquidos de reembolsos</v>
      </c>
      <c r="D49" s="1216">
        <v>217.27286289000006</v>
      </c>
      <c r="E49" s="1216">
        <v>-91.000519999999995</v>
      </c>
      <c r="F49" s="1216">
        <v>217.27286289000006</v>
      </c>
      <c r="G49" s="1216">
        <v>-362.71270031000012</v>
      </c>
      <c r="H49" s="1217"/>
      <c r="I49" s="1217"/>
      <c r="J49" s="1230"/>
      <c r="K49" s="117"/>
      <c r="L49" s="293"/>
      <c r="M49" s="87"/>
      <c r="N49" s="418"/>
      <c r="O49" s="418"/>
      <c r="P49" s="293"/>
      <c r="Q49" s="293"/>
      <c r="R49" s="293"/>
      <c r="U49" s="87"/>
      <c r="V49" s="87"/>
      <c r="W49" s="87"/>
      <c r="X49" s="87"/>
      <c r="Y49" s="87"/>
      <c r="Z49" s="87"/>
      <c r="AA49" s="87"/>
      <c r="AB49" s="87"/>
      <c r="AC49" s="87"/>
      <c r="AD49" s="87"/>
      <c r="AE49" s="87"/>
      <c r="AF49" s="87"/>
      <c r="AG49" s="87"/>
    </row>
    <row r="50" spans="3:33" ht="15" customHeight="1">
      <c r="C50" s="1216" t="str">
        <f>IF(Indice_index!$Z$1=1,"Passivos financeiros líquidos de amortizações","Financial liabilities net of amortizations")</f>
        <v>Passivos financeiros líquidos de amortizações</v>
      </c>
      <c r="D50" s="1216">
        <v>0</v>
      </c>
      <c r="E50" s="1216">
        <v>0</v>
      </c>
      <c r="F50" s="1216">
        <v>0</v>
      </c>
      <c r="G50" s="1216">
        <v>0</v>
      </c>
      <c r="H50" s="1217"/>
      <c r="I50" s="1217"/>
      <c r="J50" s="1230"/>
      <c r="K50" s="117"/>
      <c r="L50" s="293"/>
      <c r="M50" s="87"/>
      <c r="N50" s="418"/>
      <c r="O50" s="418"/>
      <c r="P50" s="293"/>
      <c r="Q50" s="293"/>
      <c r="R50" s="293"/>
      <c r="U50" s="87"/>
      <c r="V50" s="87"/>
      <c r="W50" s="87"/>
      <c r="X50" s="87"/>
      <c r="Y50" s="87"/>
      <c r="Z50" s="87"/>
      <c r="AA50" s="87"/>
      <c r="AB50" s="87"/>
      <c r="AC50" s="87"/>
      <c r="AD50" s="87"/>
      <c r="AE50" s="87"/>
      <c r="AF50" s="87"/>
      <c r="AG50" s="87"/>
    </row>
    <row r="51" spans="3:33" ht="15" customHeight="1">
      <c r="C51" s="1212" t="str">
        <f>IF(Indice_index!$Z$1=1,"Poupança (+) / Utilização (-) de saldo da gerência anterior","Saving (+) / Usage (-) of balance from previous management")</f>
        <v>Poupança (+) / Utilização (-) de saldo da gerência anterior</v>
      </c>
      <c r="D51" s="1212">
        <f t="shared" ref="D51:E51" si="24">D47-D49+D50</f>
        <v>-136.55578466999907</v>
      </c>
      <c r="E51" s="1212">
        <f t="shared" si="24"/>
        <v>-1.4210854715202004E-12</v>
      </c>
      <c r="F51" s="1212">
        <f t="shared" ref="F51:G51" si="25">F47-F49+F50</f>
        <v>-136.55578466999907</v>
      </c>
      <c r="G51" s="1212">
        <f t="shared" si="25"/>
        <v>166.31895608999974</v>
      </c>
      <c r="H51" s="1231"/>
      <c r="I51" s="1231"/>
      <c r="J51" s="1212"/>
      <c r="K51" s="117"/>
      <c r="L51" s="293"/>
      <c r="M51" s="87"/>
      <c r="N51" s="418"/>
      <c r="O51" s="418"/>
      <c r="P51" s="293"/>
      <c r="Q51" s="293"/>
      <c r="R51" s="293"/>
      <c r="U51" s="87"/>
      <c r="V51" s="87"/>
      <c r="W51" s="87"/>
      <c r="X51" s="87"/>
      <c r="Y51" s="87"/>
      <c r="Z51" s="87"/>
      <c r="AA51" s="87"/>
      <c r="AB51" s="87"/>
      <c r="AC51" s="87"/>
      <c r="AD51" s="87"/>
      <c r="AE51" s="87"/>
      <c r="AF51" s="87"/>
      <c r="AG51" s="87"/>
    </row>
    <row r="52" spans="3:33" ht="4.5" customHeight="1">
      <c r="C52" s="1216"/>
      <c r="D52" s="1216"/>
      <c r="E52" s="1216"/>
      <c r="F52" s="1216"/>
      <c r="G52" s="1216"/>
      <c r="H52" s="1230"/>
      <c r="I52" s="1230"/>
      <c r="J52" s="1230"/>
      <c r="K52" s="109"/>
      <c r="L52" s="293"/>
      <c r="M52" s="87"/>
      <c r="N52" s="87"/>
      <c r="O52" s="87"/>
      <c r="U52" s="87"/>
      <c r="V52" s="87"/>
      <c r="W52" s="87"/>
      <c r="X52" s="87"/>
      <c r="Y52" s="87"/>
      <c r="Z52" s="87"/>
      <c r="AA52" s="87"/>
      <c r="AB52" s="87"/>
      <c r="AC52" s="87"/>
      <c r="AD52" s="87"/>
      <c r="AE52" s="87"/>
      <c r="AF52" s="87"/>
      <c r="AG52" s="87"/>
    </row>
    <row r="53" spans="3:33" ht="15" customHeight="1">
      <c r="C53" s="791" t="str">
        <f>IF(Indice_index!$Z$1=1,"Notas:","Notes:")</f>
        <v>Notas:</v>
      </c>
      <c r="D53" s="791"/>
      <c r="E53" s="791"/>
      <c r="F53" s="1216"/>
      <c r="G53" s="1216"/>
      <c r="H53" s="1230"/>
      <c r="I53" s="1230"/>
      <c r="J53" s="1230"/>
      <c r="K53" s="109"/>
      <c r="L53" s="293"/>
      <c r="M53" s="87"/>
      <c r="N53" s="87"/>
      <c r="O53" s="87"/>
      <c r="U53" s="87"/>
      <c r="V53" s="87"/>
      <c r="W53" s="87"/>
      <c r="X53" s="87"/>
      <c r="Y53" s="87"/>
      <c r="Z53" s="87"/>
      <c r="AA53" s="87"/>
      <c r="AB53" s="87"/>
      <c r="AC53" s="87"/>
      <c r="AD53" s="87"/>
      <c r="AE53" s="87"/>
      <c r="AF53" s="87"/>
      <c r="AG53" s="87"/>
    </row>
    <row r="54" spans="3:33" s="22" customFormat="1" ht="15" customHeight="1">
      <c r="C54" s="1716" t="str">
        <f>+'5 - Conta AC + SS'!$C$64</f>
        <v>Os dados da execução acumulada de 2021 correspondem aos valores publicados na Conta Geral do Estado.</v>
      </c>
      <c r="D54" s="1716"/>
      <c r="E54" s="1716"/>
      <c r="F54" s="1716"/>
      <c r="G54" s="1716"/>
      <c r="H54" s="1716"/>
      <c r="I54" s="1716"/>
      <c r="J54" s="1716"/>
      <c r="K54" s="62"/>
      <c r="L54" s="293"/>
      <c r="R54" s="24"/>
      <c r="S54" s="24"/>
    </row>
    <row r="55" spans="3:33" ht="4.5" customHeight="1">
      <c r="C55" s="1216"/>
      <c r="D55" s="1216"/>
      <c r="E55" s="1216"/>
      <c r="F55" s="1216"/>
      <c r="G55" s="1216"/>
      <c r="H55" s="1230"/>
      <c r="I55" s="1230"/>
      <c r="J55" s="1230"/>
      <c r="K55" s="109"/>
      <c r="L55" s="293"/>
      <c r="M55" s="87"/>
      <c r="N55" s="87"/>
      <c r="O55" s="87"/>
      <c r="U55" s="87"/>
      <c r="V55" s="87"/>
      <c r="W55" s="87"/>
      <c r="X55" s="87"/>
      <c r="Y55" s="87"/>
      <c r="Z55" s="87"/>
      <c r="AA55" s="87"/>
      <c r="AB55" s="87"/>
      <c r="AC55" s="87"/>
      <c r="AD55" s="87"/>
      <c r="AE55" s="87"/>
      <c r="AF55" s="87"/>
      <c r="AG55" s="87"/>
    </row>
    <row r="56" spans="3:33" ht="15" customHeight="1">
      <c r="C56" s="777" t="str">
        <f>IF(Indice_index!$Z$1=1,"Fonte: Direção-Geral do Orçamento","Source: Budget General Directorate")</f>
        <v>Fonte: Direção-Geral do Orçamento</v>
      </c>
      <c r="D56" s="777"/>
      <c r="E56" s="777"/>
      <c r="G56" s="640"/>
      <c r="L56" s="293"/>
    </row>
    <row r="57" spans="3:33">
      <c r="L57" s="293"/>
    </row>
    <row r="58" spans="3:33">
      <c r="L58" s="293"/>
    </row>
    <row r="59" spans="3:33">
      <c r="F59" s="87"/>
      <c r="G59" s="121"/>
      <c r="L59" s="293"/>
    </row>
    <row r="60" spans="3:33">
      <c r="F60" s="87"/>
      <c r="G60" s="121"/>
      <c r="L60" s="293"/>
    </row>
    <row r="61" spans="3:33">
      <c r="F61" s="87"/>
      <c r="G61" s="121"/>
      <c r="L61" s="293"/>
    </row>
    <row r="62" spans="3:33">
      <c r="L62" s="293"/>
    </row>
    <row r="63" spans="3:33">
      <c r="L63" s="293"/>
    </row>
    <row r="64" spans="3:33">
      <c r="L64" s="293"/>
    </row>
    <row r="65" spans="12:12">
      <c r="L65" s="293"/>
    </row>
    <row r="66" spans="12:12">
      <c r="L66" s="293"/>
    </row>
    <row r="67" spans="12:12">
      <c r="L67" s="293"/>
    </row>
    <row r="68" spans="12:12">
      <c r="L68" s="293"/>
    </row>
    <row r="69" spans="12:12">
      <c r="L69" s="293"/>
    </row>
    <row r="70" spans="12:12">
      <c r="L70" s="293"/>
    </row>
    <row r="71" spans="12:12">
      <c r="L71" s="293"/>
    </row>
    <row r="72" spans="12:12">
      <c r="L72" s="293"/>
    </row>
    <row r="73" spans="12:12">
      <c r="L73" s="293"/>
    </row>
    <row r="74" spans="12:12">
      <c r="L74" s="293"/>
    </row>
    <row r="75" spans="12:12">
      <c r="L75" s="293"/>
    </row>
    <row r="76" spans="12:12">
      <c r="L76" s="293"/>
    </row>
    <row r="77" spans="12:12">
      <c r="L77" s="293"/>
    </row>
    <row r="78" spans="12:12">
      <c r="L78" s="293"/>
    </row>
    <row r="79" spans="12:12">
      <c r="L79" s="293"/>
    </row>
    <row r="80" spans="12:12">
      <c r="L80" s="293"/>
    </row>
    <row r="81" spans="12:12">
      <c r="L81" s="293"/>
    </row>
    <row r="82" spans="12:12">
      <c r="L82" s="293"/>
    </row>
    <row r="83" spans="12:12">
      <c r="L83" s="293"/>
    </row>
    <row r="84" spans="12:12">
      <c r="L84" s="293"/>
    </row>
    <row r="85" spans="12:12">
      <c r="L85" s="293"/>
    </row>
    <row r="86" spans="12:12">
      <c r="L86" s="293"/>
    </row>
    <row r="87" spans="12:12">
      <c r="L87" s="293"/>
    </row>
    <row r="88" spans="12:12">
      <c r="L88" s="293"/>
    </row>
    <row r="89" spans="12:12">
      <c r="L89" s="293"/>
    </row>
    <row r="90" spans="12:12">
      <c r="L90" s="293"/>
    </row>
    <row r="91" spans="12:12">
      <c r="L91" s="293"/>
    </row>
    <row r="97" spans="3:11" ht="12" customHeight="1">
      <c r="C97" s="116"/>
      <c r="D97" s="443"/>
      <c r="E97" s="637"/>
      <c r="F97" s="116"/>
      <c r="G97" s="116"/>
      <c r="H97" s="639"/>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4"/>
  <sheetViews>
    <sheetView showGridLines="0" zoomScaleNormal="100" zoomScaleSheetLayoutView="100" workbookViewId="0">
      <selection activeCell="B2" sqref="B2"/>
    </sheetView>
  </sheetViews>
  <sheetFormatPr defaultColWidth="9.140625" defaultRowHeight="11.25"/>
  <cols>
    <col min="1" max="1" width="2.140625" style="123" customWidth="1"/>
    <col min="2" max="2" width="4.42578125" style="123" customWidth="1"/>
    <col min="3" max="3" width="40.85546875" style="123" customWidth="1"/>
    <col min="4" max="5" width="9.42578125" style="123" customWidth="1"/>
    <col min="6" max="7" width="9.42578125" style="124" customWidth="1"/>
    <col min="8" max="9" width="9.42578125" style="123" customWidth="1"/>
    <col min="10" max="10" width="8.5703125" style="123" customWidth="1"/>
    <col min="11" max="11" width="14.42578125" style="123" bestFit="1" customWidth="1"/>
    <col min="12" max="12" width="11.5703125" style="123" customWidth="1"/>
    <col min="13" max="15" width="8.5703125" style="123" customWidth="1"/>
    <col min="16" max="16384" width="9.14062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Execução Orçamental da Segurança Social</v>
      </c>
      <c r="D2" s="51"/>
      <c r="E2" s="51"/>
      <c r="F2" s="51"/>
      <c r="G2" s="51"/>
      <c r="H2" s="51"/>
      <c r="I2" s="51"/>
    </row>
    <row r="3" spans="2:15" ht="15" customHeight="1">
      <c r="H3" s="125"/>
      <c r="I3" s="125"/>
      <c r="K3" s="655"/>
    </row>
    <row r="4" spans="2:15" ht="15" customHeight="1">
      <c r="H4" s="125"/>
      <c r="I4" s="125"/>
      <c r="J4" s="126"/>
    </row>
    <row r="5" spans="2:15" s="294" customFormat="1" ht="15" customHeight="1">
      <c r="C5" s="825" t="str">
        <f>+'5 - Conta AC + SS'!C5</f>
        <v>Período: janeiro a dezembro</v>
      </c>
      <c r="D5" s="825"/>
      <c r="E5" s="825"/>
      <c r="F5" s="826"/>
      <c r="G5" s="826"/>
      <c r="H5" s="827"/>
      <c r="I5" s="828" t="str">
        <f>IF(Indice_index!$Z$1=1,"€ Milhões","€ Millions")</f>
        <v>€ Milhões</v>
      </c>
      <c r="K5" s="689"/>
    </row>
    <row r="6" spans="2:15" s="127" customFormat="1" ht="26.25" customHeight="1">
      <c r="C6" s="829"/>
      <c r="D6" s="830" t="str">
        <f>IF(Indice_index!$Z$1=1,"CGE","Final execution")</f>
        <v>CGE</v>
      </c>
      <c r="E6" s="830" t="str">
        <f>IF(Indice_index!$Z$1=1,"Orçamento Inicial","Budget")</f>
        <v>Orçamento Inicial</v>
      </c>
      <c r="F6" s="1740" t="str">
        <f>IF(Indice_index!$Z$1=1,"Execução Acumulada","Accumulated Execution")</f>
        <v>Execução Acumulada</v>
      </c>
      <c r="G6" s="1740"/>
      <c r="H6" s="1741" t="str">
        <f>IF(Indice_index!$Z$1=1,"Variação Homóloga Acumulada","YOY Change Rate")</f>
        <v>Variação Homóloga Acumulada</v>
      </c>
      <c r="I6" s="1742"/>
      <c r="K6" s="559"/>
    </row>
    <row r="7" spans="2:15" ht="33" customHeight="1">
      <c r="C7" s="831"/>
      <c r="D7" s="832" t="s">
        <v>67</v>
      </c>
      <c r="E7" s="832" t="s">
        <v>73</v>
      </c>
      <c r="F7" s="833" t="s">
        <v>67</v>
      </c>
      <c r="G7" s="833" t="s">
        <v>73</v>
      </c>
      <c r="H7" s="834" t="str">
        <f>IF(Indice_index!$Z$1=1,"Relativa (%)","Relative change (%)")</f>
        <v>Relativa (%)</v>
      </c>
      <c r="I7" s="835" t="str">
        <f>IF(Indice_index!$Z$1=1,"Contributo VHA (p.p.)","YOY Change Rate Contrib. (p.p.)")</f>
        <v>Contributo VHA (p.p.)</v>
      </c>
      <c r="K7" s="655"/>
    </row>
    <row r="8" spans="2:15" ht="4.5" customHeight="1">
      <c r="C8" s="836"/>
      <c r="D8" s="836"/>
      <c r="E8" s="836"/>
      <c r="F8" s="837"/>
      <c r="G8" s="837"/>
      <c r="H8" s="836"/>
      <c r="I8" s="837"/>
      <c r="K8" s="96"/>
    </row>
    <row r="9" spans="2:15" s="295" customFormat="1" ht="15" customHeight="1">
      <c r="C9" s="838" t="str">
        <f>IF(Indice_index!$Z$1=1,"Receita corrente","Current revenue")</f>
        <v>Receita corrente</v>
      </c>
      <c r="D9" s="839">
        <f t="shared" ref="D9:E9" si="0">+SUM(D10:D12)+SUM(D23:D27)</f>
        <v>33565.62642660999</v>
      </c>
      <c r="E9" s="839">
        <f t="shared" si="0"/>
        <v>33601.611486000002</v>
      </c>
      <c r="F9" s="839">
        <f t="shared" ref="F9:G9" si="1">+SUM(F10:F12)+SUM(F23:F27)</f>
        <v>33565.62642660999</v>
      </c>
      <c r="G9" s="839">
        <f t="shared" si="1"/>
        <v>35521.317046620003</v>
      </c>
      <c r="H9" s="840">
        <f>IF(IFERROR((G9-F9)/F9*100,"")&gt;500,"-",IFERROR((G9-F9)/F9*100,""))</f>
        <v>5.8264684089422811</v>
      </c>
      <c r="I9" s="840">
        <f>IFERROR((G9-F9)/$F$32*100,"-")</f>
        <v>5.8263095049202986</v>
      </c>
      <c r="J9" s="296"/>
      <c r="K9" s="296"/>
      <c r="L9" s="621"/>
      <c r="N9" s="454"/>
      <c r="O9" s="454"/>
    </row>
    <row r="10" spans="2:15" s="127" customFormat="1" ht="15" customHeight="1">
      <c r="C10" s="841" t="str">
        <f>IF(Indice_index!$Z$1=1,"Impostos Indiretos","Indirect taxes")</f>
        <v>Impostos Indiretos</v>
      </c>
      <c r="D10" s="842">
        <v>212.25092951000005</v>
      </c>
      <c r="E10" s="842">
        <v>239.990139</v>
      </c>
      <c r="F10" s="842">
        <v>212.25092951000005</v>
      </c>
      <c r="G10" s="842">
        <v>230.20090418000001</v>
      </c>
      <c r="H10" s="843">
        <f>IF(IFERROR((G10-F10)/F10*100,"")&gt;500,"-",IFERROR((G10-F10)/F10*100,""))</f>
        <v>8.4569592752498455</v>
      </c>
      <c r="I10" s="843">
        <f>IFERROR((G10-F10)/$F$32*100,"-")</f>
        <v>5.347579364693375E-2</v>
      </c>
      <c r="J10" s="217"/>
      <c r="K10" s="217"/>
      <c r="L10" s="217"/>
      <c r="N10" s="454"/>
      <c r="O10" s="454"/>
    </row>
    <row r="11" spans="2:15" ht="15" customHeight="1">
      <c r="C11" s="844" t="str">
        <f>IF(Indice_index!$Z$1=1,"Contribuições e quotizações","Contributions and membership fees")</f>
        <v>Contribuições e quotizações</v>
      </c>
      <c r="D11" s="842">
        <v>19953.700139089997</v>
      </c>
      <c r="E11" s="842">
        <v>21165.819378</v>
      </c>
      <c r="F11" s="842">
        <v>19953.700139089997</v>
      </c>
      <c r="G11" s="842">
        <v>22310.6205009</v>
      </c>
      <c r="H11" s="843">
        <f>IF(IFERROR((G11-F11)/F11*100,"")&gt;500,"-",IFERROR((G11-F11)/F11*100,""))</f>
        <v>11.811946382779976</v>
      </c>
      <c r="I11" s="843">
        <f>IFERROR((G11-F11)/$F$32*100,"-")</f>
        <v>7.0216359202477054</v>
      </c>
      <c r="J11" s="217"/>
      <c r="K11" s="217"/>
      <c r="L11" s="616"/>
      <c r="N11" s="454"/>
      <c r="O11" s="454"/>
    </row>
    <row r="12" spans="2:15" ht="15" customHeight="1">
      <c r="C12" s="844" t="str">
        <f>IF(Indice_index!$Z$1=1,"Transferências correntes da Administração Central","Central Government current transfers")</f>
        <v>Transferências correntes da Administração Central</v>
      </c>
      <c r="D12" s="842">
        <v>10871.419801169997</v>
      </c>
      <c r="E12" s="842">
        <v>9566.7203549999995</v>
      </c>
      <c r="F12" s="842">
        <v>10871.419801169997</v>
      </c>
      <c r="G12" s="842">
        <v>10900.474138330001</v>
      </c>
      <c r="H12" s="843">
        <f t="shared" ref="H12:H30" si="2">IF(IFERROR((G12-F12)/F12*100,"")&gt;500,"-",IFERROR((G12-F12)/F12*100,""))</f>
        <v>0.2672543024865664</v>
      </c>
      <c r="I12" s="843">
        <f>IFERROR((G12-F12)/$F$32*100,"-")</f>
        <v>8.6557433482817345E-2</v>
      </c>
      <c r="J12" s="217"/>
      <c r="K12" s="217"/>
      <c r="L12" s="217"/>
      <c r="N12" s="454"/>
      <c r="O12" s="454"/>
    </row>
    <row r="13" spans="2:15" ht="15" customHeight="1">
      <c r="C13" s="845" t="str">
        <f>IF(Indice_index!$Z$1=1,"dos quais:","of which:")</f>
        <v>dos quais:</v>
      </c>
      <c r="D13" s="842"/>
      <c r="E13" s="842"/>
      <c r="F13" s="842"/>
      <c r="G13" s="842"/>
      <c r="H13" s="843"/>
      <c r="I13" s="843"/>
      <c r="J13" s="217"/>
      <c r="K13" s="217"/>
      <c r="L13" s="217"/>
      <c r="N13" s="454"/>
      <c r="O13" s="454"/>
    </row>
    <row r="14" spans="2:15" ht="15" customHeight="1">
      <c r="C14" s="846" t="str">
        <f>IF(Indice_index!$Z$1=1,"Transferências do OE","State Budget transfers")</f>
        <v>Transferências do OE</v>
      </c>
      <c r="D14" s="842">
        <f t="shared" ref="D14:G14" si="3">SUM(D15:D22)</f>
        <v>10519.713074420002</v>
      </c>
      <c r="E14" s="842">
        <f t="shared" si="3"/>
        <v>9208.4277920000004</v>
      </c>
      <c r="F14" s="842">
        <f t="shared" si="3"/>
        <v>10519.713074420002</v>
      </c>
      <c r="G14" s="842">
        <f t="shared" si="3"/>
        <v>10538.789535789998</v>
      </c>
      <c r="H14" s="843">
        <f t="shared" si="2"/>
        <v>0.18134013004957847</v>
      </c>
      <c r="I14" s="843">
        <f t="shared" ref="I14:I30" si="4">IFERROR((G14-F14)/$F$32*100,"-")</f>
        <v>5.6831774444815832E-2</v>
      </c>
      <c r="J14" s="217"/>
      <c r="K14" s="217"/>
      <c r="L14" s="217"/>
      <c r="N14" s="454"/>
      <c r="O14" s="454"/>
    </row>
    <row r="15" spans="2:15" ht="15" customHeight="1">
      <c r="C15" s="847" t="str">
        <f>IF(Indice_index!$Z$1=1,"Financiamento da Lei de Bases da Segurança Social","Social Security Framework Law financing")</f>
        <v>Financiamento da Lei de Bases da Segurança Social</v>
      </c>
      <c r="D15" s="842">
        <v>7034.2355838800004</v>
      </c>
      <c r="E15" s="842">
        <v>7147.7003690000001</v>
      </c>
      <c r="F15" s="842">
        <v>7137.91394803</v>
      </c>
      <c r="G15" s="842">
        <v>8064.5050165100001</v>
      </c>
      <c r="H15" s="843">
        <f t="shared" si="2"/>
        <v>12.981258603372922</v>
      </c>
      <c r="I15" s="843">
        <f t="shared" si="4"/>
        <v>2.7604603173029685</v>
      </c>
      <c r="J15" s="217"/>
      <c r="K15" s="616"/>
      <c r="L15" s="217"/>
      <c r="N15" s="454"/>
      <c r="O15" s="454"/>
    </row>
    <row r="16" spans="2:15" ht="15" customHeight="1">
      <c r="C16" s="848" t="str">
        <f>IF(Indice_index!$Z$1=1,"Medidas excecionais e temporárias (COVID-19)","Exceptional and temporary measures (COVID-19)")</f>
        <v>Medidas excecionais e temporárias (COVID-19)</v>
      </c>
      <c r="D16" s="842">
        <v>1545.4616489699999</v>
      </c>
      <c r="E16" s="842">
        <v>200</v>
      </c>
      <c r="F16" s="842">
        <v>1545.4616489699997</v>
      </c>
      <c r="G16" s="842">
        <v>615.83900000000006</v>
      </c>
      <c r="H16" s="843">
        <f t="shared" si="2"/>
        <v>-60.151777275713258</v>
      </c>
      <c r="I16" s="843">
        <f t="shared" si="4"/>
        <v>-2.769491871702777</v>
      </c>
      <c r="J16" s="217"/>
      <c r="K16" s="217"/>
      <c r="L16" s="217"/>
      <c r="N16" s="454"/>
      <c r="O16" s="454"/>
    </row>
    <row r="17" spans="2:15" ht="15" customHeight="1">
      <c r="C17" s="847" t="str">
        <f>IF(Indice_index!$Z$1=1,"Restantes transferências","Other transfers")</f>
        <v>Restantes transferências</v>
      </c>
      <c r="D17" s="842">
        <v>103.67836415000001</v>
      </c>
      <c r="E17" s="842">
        <v>0</v>
      </c>
      <c r="F17" s="842">
        <v>0</v>
      </c>
      <c r="G17" s="842">
        <v>0.36978446000000004</v>
      </c>
      <c r="H17" s="843" t="str">
        <f t="shared" si="2"/>
        <v>-</v>
      </c>
      <c r="I17" s="843">
        <f t="shared" si="4"/>
        <v>1.1016459822560225E-3</v>
      </c>
      <c r="J17" s="217"/>
      <c r="K17" s="217"/>
      <c r="L17" s="217"/>
      <c r="N17" s="454"/>
      <c r="O17" s="454"/>
    </row>
    <row r="18" spans="2:15" ht="15" customHeight="1">
      <c r="C18" s="847" t="str">
        <f>IF(Indice_index!$Z$1=1,"IVA Social","Social tax")</f>
        <v>IVA Social</v>
      </c>
      <c r="D18" s="842">
        <v>915.22045500000002</v>
      </c>
      <c r="E18" s="842">
        <v>970.13368200000002</v>
      </c>
      <c r="F18" s="842">
        <v>915.22045500000002</v>
      </c>
      <c r="G18" s="842">
        <v>970.13368199999991</v>
      </c>
      <c r="H18" s="843">
        <f t="shared" si="2"/>
        <v>5.9999999672210009</v>
      </c>
      <c r="I18" s="843">
        <f t="shared" si="4"/>
        <v>0.16359512754338784</v>
      </c>
      <c r="J18" s="217"/>
      <c r="K18" s="217"/>
      <c r="L18" s="217"/>
      <c r="N18" s="454"/>
      <c r="O18" s="454"/>
    </row>
    <row r="19" spans="2:15" ht="15" customHeight="1">
      <c r="C19" s="847" t="str">
        <f>IF(Indice_index!$Z$1=1,"Adicional ao IMI","Additional to the real estate municipal tax")</f>
        <v>Adicional ao IMI</v>
      </c>
      <c r="D19" s="842">
        <v>128.194097</v>
      </c>
      <c r="E19" s="842">
        <v>148.06</v>
      </c>
      <c r="F19" s="842">
        <v>128.194097</v>
      </c>
      <c r="G19" s="842">
        <v>148.06</v>
      </c>
      <c r="H19" s="843">
        <f t="shared" si="2"/>
        <v>15.496737732003371</v>
      </c>
      <c r="I19" s="843">
        <f t="shared" si="4"/>
        <v>5.9183645045110499E-2</v>
      </c>
      <c r="J19" s="217"/>
      <c r="K19" s="217"/>
      <c r="L19" s="217"/>
      <c r="N19" s="454"/>
      <c r="O19" s="454"/>
    </row>
    <row r="20" spans="2:15" ht="15" customHeight="1">
      <c r="C20" s="847" t="str">
        <f>IF(Indice_index!$Z$1=1,"Consignação do IRC","Assignment of Corporate Income Tax")</f>
        <v>Consignação do IRC</v>
      </c>
      <c r="D20" s="842">
        <v>337.30786999999998</v>
      </c>
      <c r="E20" s="842">
        <v>297.27</v>
      </c>
      <c r="F20" s="842">
        <v>337.30786999999998</v>
      </c>
      <c r="G20" s="842">
        <v>297.27</v>
      </c>
      <c r="H20" s="843">
        <f t="shared" si="2"/>
        <v>-11.869829778949422</v>
      </c>
      <c r="I20" s="843">
        <f t="shared" si="4"/>
        <v>-0.11927910281462051</v>
      </c>
      <c r="J20" s="217"/>
      <c r="K20" s="217"/>
      <c r="L20" s="217"/>
      <c r="N20" s="454"/>
      <c r="O20" s="454"/>
    </row>
    <row r="21" spans="2:15" ht="15" customHeight="1">
      <c r="C21" s="847" t="str">
        <f>IF(Indice_index!$Z$1=1,"Adicional à Contribuição do Setor Bancário","Additional contribution on the Banking sector")</f>
        <v>Adicional à Contribuição do Setor Bancário</v>
      </c>
      <c r="D21" s="842">
        <v>33.939816999999998</v>
      </c>
      <c r="E21" s="842">
        <v>34</v>
      </c>
      <c r="F21" s="842">
        <v>33.939816999999998</v>
      </c>
      <c r="G21" s="842">
        <v>34</v>
      </c>
      <c r="H21" s="843">
        <f t="shared" si="2"/>
        <v>0.1773227003551672</v>
      </c>
      <c r="I21" s="843">
        <f t="shared" si="4"/>
        <v>1.7929460894629401E-4</v>
      </c>
      <c r="J21" s="217"/>
      <c r="K21" s="217"/>
      <c r="L21" s="217"/>
      <c r="N21" s="454"/>
      <c r="O21" s="454"/>
    </row>
    <row r="22" spans="2:15" ht="15" customHeight="1">
      <c r="C22" s="847" t="str">
        <f>IF(Indice_index!$Z$1=1,"Pensões Bancários","Old age pension scheme from Banking regime")</f>
        <v>Pensões Bancários</v>
      </c>
      <c r="D22" s="842">
        <v>421.67523842000003</v>
      </c>
      <c r="E22" s="842">
        <v>411.26374099999998</v>
      </c>
      <c r="F22" s="842">
        <v>421.67523842000003</v>
      </c>
      <c r="G22" s="842">
        <v>408.61205281999992</v>
      </c>
      <c r="H22" s="843">
        <f t="shared" si="2"/>
        <v>-3.0979257043755606</v>
      </c>
      <c r="I22" s="843">
        <f t="shared" si="4"/>
        <v>-3.8917281520442604E-2</v>
      </c>
      <c r="J22" s="217"/>
      <c r="K22" s="217"/>
      <c r="L22" s="217"/>
      <c r="N22" s="454"/>
      <c r="O22" s="454"/>
    </row>
    <row r="23" spans="2:15" ht="15" customHeight="1">
      <c r="C23" s="849" t="str">
        <f>IF(Indice_index!$Z$1=1,"Transferências do Fundo Social Europeu","European Social Fund")</f>
        <v>Transferências do Fundo Social Europeu</v>
      </c>
      <c r="D23" s="842">
        <v>1322.4853037599999</v>
      </c>
      <c r="E23" s="842">
        <v>1622.1324729999999</v>
      </c>
      <c r="F23" s="842">
        <v>1322.4853037599999</v>
      </c>
      <c r="G23" s="842">
        <v>1059.36831422</v>
      </c>
      <c r="H23" s="843">
        <f t="shared" si="2"/>
        <v>-19.895645629628063</v>
      </c>
      <c r="I23" s="843">
        <f t="shared" si="4"/>
        <v>-0.7838668352640904</v>
      </c>
      <c r="J23" s="217"/>
      <c r="K23" s="217"/>
      <c r="L23" s="217"/>
      <c r="N23" s="454"/>
      <c r="O23" s="454"/>
    </row>
    <row r="24" spans="2:15" ht="15" customHeight="1">
      <c r="C24" s="849" t="str">
        <f>IF(Indice_index!$Z$1=1,"Transferências do Fundo Europeu de Auxílio às Pessoas Mais Carenciadas - FEAC","Fund for European Aid to the Most Deprived")</f>
        <v>Transferências do Fundo Europeu de Auxílio às Pessoas Mais Carenciadas - FEAC</v>
      </c>
      <c r="D24" s="842">
        <v>27</v>
      </c>
      <c r="E24" s="842">
        <v>78.720834999999994</v>
      </c>
      <c r="F24" s="842">
        <v>27</v>
      </c>
      <c r="G24" s="842">
        <v>27</v>
      </c>
      <c r="H24" s="843">
        <f t="shared" si="2"/>
        <v>0</v>
      </c>
      <c r="I24" s="843">
        <f t="shared" si="4"/>
        <v>0</v>
      </c>
      <c r="J24" s="217"/>
      <c r="K24" s="217"/>
      <c r="L24" s="217"/>
      <c r="N24" s="454"/>
      <c r="O24" s="454"/>
    </row>
    <row r="25" spans="2:15" ht="15" customHeight="1">
      <c r="C25" s="849" t="str">
        <f>IF(Indice_index!$Z$1=1,"Transferências da União Europeia - Plano de Recuperação e Resiliência","Recovery and Resilience Plan")</f>
        <v>Transferências da União Europeia - Plano de Recuperação e Resiliência</v>
      </c>
      <c r="D25" s="842">
        <v>77.730710099999996</v>
      </c>
      <c r="E25" s="842">
        <v>106.318898</v>
      </c>
      <c r="F25" s="842">
        <v>77.730710099999996</v>
      </c>
      <c r="G25" s="842">
        <v>6.3086670999999992</v>
      </c>
      <c r="H25" s="843">
        <f t="shared" ref="H25" si="5">IF(IFERROR((G25-F25)/F25*100,"")&gt;500,"-",IFERROR((G25-F25)/F25*100,""))</f>
        <v>-91.883945107559242</v>
      </c>
      <c r="I25" s="843">
        <f t="shared" si="4"/>
        <v>-0.21277748317348669</v>
      </c>
      <c r="J25" s="217"/>
      <c r="K25" s="217"/>
      <c r="L25" s="217"/>
      <c r="N25" s="454"/>
      <c r="O25" s="454"/>
    </row>
    <row r="26" spans="2:15" ht="15" customHeight="1">
      <c r="C26" s="849" t="str">
        <f>IF(Indice_index!$Z$1=1,"Outras transferências","Other transfers")</f>
        <v>Outras transferências</v>
      </c>
      <c r="D26" s="842">
        <v>2.4134979799999998</v>
      </c>
      <c r="E26" s="842">
        <v>2</v>
      </c>
      <c r="F26" s="842">
        <v>2.4134979799999998</v>
      </c>
      <c r="G26" s="842">
        <v>2.4100544800000003</v>
      </c>
      <c r="H26" s="843">
        <f t="shared" si="2"/>
        <v>-0.14267673014582299</v>
      </c>
      <c r="I26" s="843">
        <f t="shared" si="4"/>
        <v>-1.0258727313468092E-5</v>
      </c>
      <c r="J26" s="217"/>
      <c r="K26" s="217"/>
      <c r="L26" s="217"/>
      <c r="N26" s="454"/>
      <c r="O26" s="454"/>
    </row>
    <row r="27" spans="2:15" ht="15" customHeight="1">
      <c r="B27" s="128"/>
      <c r="C27" s="844" t="str">
        <f>IF(Indice_index!$Z$1=1,"Restantes receitas correntes","Other current revenue")</f>
        <v>Restantes receitas correntes</v>
      </c>
      <c r="D27" s="842">
        <v>1098.626045</v>
      </c>
      <c r="E27" s="842">
        <v>819.90940799999998</v>
      </c>
      <c r="F27" s="842">
        <v>1098.626045</v>
      </c>
      <c r="G27" s="842">
        <v>984.93446740999991</v>
      </c>
      <c r="H27" s="843">
        <f t="shared" si="2"/>
        <v>-10.348523786362634</v>
      </c>
      <c r="I27" s="843">
        <f t="shared" si="4"/>
        <v>-0.33870506529228511</v>
      </c>
      <c r="J27" s="217"/>
      <c r="K27" s="217"/>
      <c r="L27" s="217"/>
      <c r="N27" s="454"/>
      <c r="O27" s="454"/>
    </row>
    <row r="28" spans="2:15" s="295" customFormat="1" ht="15" customHeight="1">
      <c r="C28" s="838" t="str">
        <f>IF(Indice_index!$Z$1=1,"Receita de capital","Capital revenue")</f>
        <v>Receita de capital</v>
      </c>
      <c r="D28" s="839">
        <f t="shared" ref="D28:E28" si="6">+D29+D30</f>
        <v>0.91545309000000008</v>
      </c>
      <c r="E28" s="839">
        <f t="shared" si="6"/>
        <v>7.2077209999999994</v>
      </c>
      <c r="F28" s="839">
        <f t="shared" ref="F28:G28" si="7">+F29+F30</f>
        <v>0.91545309000000008</v>
      </c>
      <c r="G28" s="839">
        <f t="shared" si="7"/>
        <v>1.4703749300000002</v>
      </c>
      <c r="H28" s="840">
        <f t="shared" si="2"/>
        <v>60.61717919374766</v>
      </c>
      <c r="I28" s="840">
        <f t="shared" si="4"/>
        <v>1.6531993137356808E-3</v>
      </c>
      <c r="J28" s="296"/>
      <c r="K28" s="296"/>
      <c r="L28" s="296"/>
      <c r="N28" s="454"/>
      <c r="O28" s="454"/>
    </row>
    <row r="29" spans="2:15" ht="15" customHeight="1">
      <c r="C29" s="844" t="str">
        <f>IF(Indice_index!$Z$1=1,"Transferências do Orçamento do Estado","State Budget transfers")</f>
        <v>Transferências do Orçamento do Estado</v>
      </c>
      <c r="D29" s="842">
        <v>0.29749999999999999</v>
      </c>
      <c r="E29" s="842">
        <v>1.8776079999999999</v>
      </c>
      <c r="F29" s="842">
        <v>0.29749999999999999</v>
      </c>
      <c r="G29" s="842">
        <v>0.35</v>
      </c>
      <c r="H29" s="843">
        <f t="shared" si="2"/>
        <v>17.647058823529409</v>
      </c>
      <c r="I29" s="843">
        <f t="shared" si="4"/>
        <v>1.5640574530482204E-4</v>
      </c>
      <c r="J29" s="217"/>
      <c r="K29" s="217"/>
      <c r="L29" s="217"/>
      <c r="N29" s="454"/>
      <c r="O29" s="454"/>
    </row>
    <row r="30" spans="2:15" ht="15" customHeight="1">
      <c r="C30" s="844" t="str">
        <f>IF(Indice_index!$Z$1=1,"Restantes receitas de capital","Other capital revenue")</f>
        <v>Restantes receitas de capital</v>
      </c>
      <c r="D30" s="842">
        <v>0.61795309000000009</v>
      </c>
      <c r="E30" s="842">
        <v>5.3301129999999999</v>
      </c>
      <c r="F30" s="842">
        <v>0.61795309000000009</v>
      </c>
      <c r="G30" s="842">
        <v>1.1203749300000001</v>
      </c>
      <c r="H30" s="843">
        <f t="shared" si="2"/>
        <v>81.304203851460628</v>
      </c>
      <c r="I30" s="843">
        <f t="shared" si="4"/>
        <v>1.4967935684308585E-3</v>
      </c>
      <c r="J30" s="217"/>
      <c r="K30" s="217"/>
      <c r="L30" s="217"/>
      <c r="N30" s="454"/>
      <c r="O30" s="454"/>
    </row>
    <row r="31" spans="2:15" ht="4.5" customHeight="1">
      <c r="C31" s="836"/>
      <c r="D31" s="842"/>
      <c r="E31" s="842"/>
      <c r="F31" s="842"/>
      <c r="G31" s="842"/>
      <c r="H31" s="843"/>
      <c r="I31" s="836"/>
      <c r="J31" s="217"/>
      <c r="K31" s="217"/>
      <c r="L31" s="217"/>
      <c r="N31" s="454"/>
      <c r="O31" s="454"/>
    </row>
    <row r="32" spans="2:15" s="295" customFormat="1" ht="15" customHeight="1">
      <c r="C32" s="850" t="str">
        <f>IF(Indice_index!$Z$1=1,"Receita Efetiva","Effective revenue")</f>
        <v>Receita Efetiva</v>
      </c>
      <c r="D32" s="851">
        <f t="shared" ref="D32:E32" si="8">+D9+D28</f>
        <v>33566.541879699987</v>
      </c>
      <c r="E32" s="851">
        <f t="shared" si="8"/>
        <v>33608.819207</v>
      </c>
      <c r="F32" s="851">
        <f t="shared" ref="F32:G32" si="9">+F9+F28</f>
        <v>33566.541879699987</v>
      </c>
      <c r="G32" s="851">
        <f t="shared" si="9"/>
        <v>35522.787421550005</v>
      </c>
      <c r="H32" s="852">
        <f t="shared" ref="H32" si="10">IF(IFERROR((G32-F32)/F32*100,"")&gt;500,"-",IFERROR((G32-F32)/F32*100,""))</f>
        <v>5.8279627042340483</v>
      </c>
      <c r="I32" s="852"/>
      <c r="J32" s="296"/>
      <c r="K32" s="296"/>
      <c r="L32" s="296"/>
      <c r="N32" s="454"/>
      <c r="O32" s="454"/>
    </row>
    <row r="33" spans="3:15" ht="4.5" customHeight="1">
      <c r="C33" s="836"/>
      <c r="D33" s="842"/>
      <c r="E33" s="842"/>
      <c r="F33" s="842"/>
      <c r="G33" s="842"/>
      <c r="H33" s="843"/>
      <c r="I33" s="843"/>
      <c r="J33" s="217"/>
      <c r="K33" s="217"/>
      <c r="L33" s="217"/>
      <c r="N33" s="454"/>
      <c r="O33" s="454"/>
    </row>
    <row r="34" spans="3:15" s="295" customFormat="1" ht="15" customHeight="1">
      <c r="C34" s="838" t="str">
        <f>IF(Indice_index!$Z$1=1,"Despesa Corrente","Current expenditure")</f>
        <v>Despesa Corrente</v>
      </c>
      <c r="D34" s="839">
        <f>+D35+D56+D57+D58+D59+D62+D63</f>
        <v>31196.79567548</v>
      </c>
      <c r="E34" s="839">
        <f>+E35+E56+E57+E58+E59+E62+E63</f>
        <v>30914.324376</v>
      </c>
      <c r="F34" s="839">
        <f>+F35+F56+F57+F58+F59+F62+F63</f>
        <v>31196.795675479163</v>
      </c>
      <c r="G34" s="839">
        <f>+G35+G56+G57+G58+G59+G62+G63</f>
        <v>31408.121684990001</v>
      </c>
      <c r="H34" s="840">
        <f t="shared" ref="H34" si="11">IF(IFERROR((G34-F34)/F34*100,"")&gt;500,"-",IFERROR((G34-F34)/F34*100,""))</f>
        <v>0.67739652401846306</v>
      </c>
      <c r="I34" s="840">
        <f t="shared" ref="I34:I41" si="12">IFERROR((G34-F34)/$F$68*100,"-")</f>
        <v>0.67649701215942382</v>
      </c>
      <c r="J34" s="296"/>
      <c r="K34" s="296"/>
      <c r="L34" s="296"/>
      <c r="N34" s="454"/>
      <c r="O34" s="454"/>
    </row>
    <row r="35" spans="3:15" s="127" customFormat="1" ht="15" customHeight="1">
      <c r="C35" s="853" t="str">
        <f>IF(Indice_index!$Z$1=1,"Prestações Sociais","Social Benefits")</f>
        <v>Prestações Sociais</v>
      </c>
      <c r="D35" s="854">
        <f t="shared" ref="D35:G35" si="13">+D36+SUM(D43:D55)</f>
        <v>27677.403530839998</v>
      </c>
      <c r="E35" s="854">
        <f t="shared" si="13"/>
        <v>26876.693802000002</v>
      </c>
      <c r="F35" s="855">
        <f t="shared" si="13"/>
        <v>27677.403530839998</v>
      </c>
      <c r="G35" s="855">
        <f t="shared" si="13"/>
        <v>28132.95670364</v>
      </c>
      <c r="H35" s="856">
        <f t="shared" ref="H35:H59" si="14">IF(IFERROR((G35-F35)/F35*100,"")&gt;500,"-",IFERROR((G35-F35)/F35*100,""))</f>
        <v>1.6459389779550484</v>
      </c>
      <c r="I35" s="856">
        <f t="shared" si="12"/>
        <v>1.4583172274548724</v>
      </c>
      <c r="J35" s="217"/>
      <c r="K35" s="217"/>
      <c r="L35" s="217"/>
      <c r="N35" s="454"/>
      <c r="O35" s="454"/>
    </row>
    <row r="36" spans="3:15" s="129" customFormat="1" ht="15" customHeight="1">
      <c r="C36" s="853" t="str">
        <f>IF(Indice_index!$Z$1=1,"      Pensões","      Pensions")</f>
        <v xml:space="preserve">      Pensões</v>
      </c>
      <c r="D36" s="608">
        <f t="shared" ref="D36:E36" si="15">(SUM(D37:D41))</f>
        <v>18459.21372498</v>
      </c>
      <c r="E36" s="608">
        <f t="shared" si="15"/>
        <v>19078.314131000003</v>
      </c>
      <c r="F36" s="608">
        <f>((((SUM(F37:F42)))))</f>
        <v>18459.21372498</v>
      </c>
      <c r="G36" s="608">
        <f>((((SUM(G37:G42)))))</f>
        <v>19720.080079089999</v>
      </c>
      <c r="H36" s="843">
        <f t="shared" si="14"/>
        <v>6.8305528767117929</v>
      </c>
      <c r="I36" s="843">
        <f t="shared" si="12"/>
        <v>4.0362865094654392</v>
      </c>
      <c r="J36" s="217"/>
      <c r="K36" s="217"/>
      <c r="L36" s="217"/>
      <c r="N36" s="454"/>
      <c r="O36" s="454"/>
    </row>
    <row r="37" spans="3:15" s="129" customFormat="1" ht="15" customHeight="1">
      <c r="C37" s="853" t="str">
        <f>IF(Indice_index!$Z$1=1,"            Sobrevivência","            Survival")</f>
        <v xml:space="preserve">            Sobrevivência</v>
      </c>
      <c r="D37" s="842">
        <v>2590.4848075700002</v>
      </c>
      <c r="E37" s="842">
        <v>2649.420505</v>
      </c>
      <c r="F37" s="842">
        <v>2590.4848075700002</v>
      </c>
      <c r="G37" s="842">
        <v>2649.196421879999</v>
      </c>
      <c r="H37" s="843">
        <f t="shared" si="14"/>
        <v>2.2664334544031992</v>
      </c>
      <c r="I37" s="843">
        <f t="shared" si="12"/>
        <v>0.18794767265850298</v>
      </c>
      <c r="J37" s="217"/>
      <c r="K37" s="217"/>
      <c r="L37" s="217"/>
      <c r="N37" s="454"/>
      <c r="O37" s="454"/>
    </row>
    <row r="38" spans="3:15" s="129" customFormat="1" ht="15" customHeight="1">
      <c r="C38" s="853" t="str">
        <f>IF(Indice_index!$Z$1=1,"            Invalidez","            Disability")</f>
        <v xml:space="preserve">            Invalidez</v>
      </c>
      <c r="D38" s="842">
        <v>1166.6139236599995</v>
      </c>
      <c r="E38" s="842">
        <v>1179.448492</v>
      </c>
      <c r="F38" s="842">
        <v>1166.6139236599995</v>
      </c>
      <c r="G38" s="842">
        <v>1164.89929676</v>
      </c>
      <c r="H38" s="843">
        <f t="shared" si="14"/>
        <v>-0.14697466447342392</v>
      </c>
      <c r="I38" s="843">
        <f t="shared" si="12"/>
        <v>-5.4888651780384311E-3</v>
      </c>
      <c r="J38" s="217"/>
      <c r="K38" s="217"/>
      <c r="L38" s="217"/>
      <c r="N38" s="454"/>
      <c r="O38" s="454"/>
    </row>
    <row r="39" spans="3:15" s="129" customFormat="1" ht="15" customHeight="1">
      <c r="C39" s="853" t="str">
        <f>IF(Indice_index!$Z$1=1,"            Velhice","            Old-age")</f>
        <v xml:space="preserve">            Velhice</v>
      </c>
      <c r="D39" s="842">
        <v>13911.745101300001</v>
      </c>
      <c r="E39" s="842">
        <v>14284.298789</v>
      </c>
      <c r="F39" s="842">
        <v>13911.745101300001</v>
      </c>
      <c r="G39" s="842">
        <v>14317.995012829999</v>
      </c>
      <c r="H39" s="843">
        <f t="shared" si="14"/>
        <v>2.9201937540678156</v>
      </c>
      <c r="I39" s="843">
        <f t="shared" si="12"/>
        <v>1.30048758302976</v>
      </c>
      <c r="J39" s="217"/>
      <c r="K39" s="217"/>
      <c r="L39" s="217"/>
      <c r="N39" s="454"/>
      <c r="O39" s="454"/>
    </row>
    <row r="40" spans="3:15" s="129" customFormat="1" ht="15" customHeight="1">
      <c r="C40" s="853" t="str">
        <f>IF(Indice_index!$Z$1=1,"            Beneficiários dos antigos combatentes","            War veteran beneficiaries")</f>
        <v xml:space="preserve">            Beneficiários dos antigos combatentes</v>
      </c>
      <c r="D40" s="842">
        <v>43.599297430000007</v>
      </c>
      <c r="E40" s="842">
        <v>45.013061</v>
      </c>
      <c r="F40" s="842">
        <v>43.599297430000007</v>
      </c>
      <c r="G40" s="842">
        <v>44.153219929999999</v>
      </c>
      <c r="H40" s="857">
        <f t="shared" si="14"/>
        <v>1.2704849221236443</v>
      </c>
      <c r="I40" s="857">
        <f t="shared" si="12"/>
        <v>1.7732172063687909E-3</v>
      </c>
      <c r="J40" s="217"/>
      <c r="K40" s="217"/>
      <c r="L40" s="217"/>
      <c r="N40" s="454"/>
      <c r="O40" s="454"/>
    </row>
    <row r="41" spans="3:15" s="129" customFormat="1" ht="15" customHeight="1">
      <c r="C41" s="853" t="str">
        <f>IF(Indice_index!$Z$1=1,"            Parcela de atualização extraordinária de pensões","            Portion of extraordinary pensions update")</f>
        <v xml:space="preserve">            Parcela de atualização extraordinária de pensões</v>
      </c>
      <c r="D41" s="842">
        <v>746.77059501999997</v>
      </c>
      <c r="E41" s="842">
        <v>920.133284</v>
      </c>
      <c r="F41" s="842">
        <v>746.77059501999997</v>
      </c>
      <c r="G41" s="842">
        <v>895.96152242000005</v>
      </c>
      <c r="H41" s="857">
        <f t="shared" si="14"/>
        <v>19.97814702331771</v>
      </c>
      <c r="I41" s="857">
        <f t="shared" si="12"/>
        <v>0.47759013129057082</v>
      </c>
      <c r="J41" s="217"/>
      <c r="K41" s="217"/>
      <c r="L41" s="217"/>
      <c r="N41" s="454"/>
      <c r="O41" s="454"/>
    </row>
    <row r="42" spans="3:15" s="129" customFormat="1" ht="15" customHeight="1">
      <c r="C42" s="853" t="str">
        <f>IF(Indice_index!$Z$1=1,"            Complemento excecional de pensão","              32 / 160
Traduzir
inglês
Exceptional pension supplement")</f>
        <v xml:space="preserve">            Complemento excecional de pensão</v>
      </c>
      <c r="D42" s="842">
        <v>0</v>
      </c>
      <c r="E42" s="842">
        <v>0</v>
      </c>
      <c r="F42" s="842">
        <v>0</v>
      </c>
      <c r="G42" s="842">
        <v>647.87460526999996</v>
      </c>
      <c r="H42" s="857" t="str">
        <f t="shared" ref="H42" si="16">IF(IFERROR((G42-F42)/F42*100,"")&gt;500,"-",IFERROR((G42-F42)/F42*100,""))</f>
        <v>-</v>
      </c>
      <c r="I42" s="857">
        <f t="shared" ref="I42" si="17">IFERROR((G42-F42)/$F$68*100,"-")</f>
        <v>2.0739767704582674</v>
      </c>
      <c r="J42" s="217"/>
      <c r="K42" s="217"/>
      <c r="L42" s="217"/>
      <c r="N42" s="454"/>
      <c r="O42" s="454"/>
    </row>
    <row r="43" spans="3:15" s="129" customFormat="1" ht="15" customHeight="1">
      <c r="C43" s="849" t="str">
        <f>IF(Indice_index!$Z$1=1,"Subsídio familiar a crianças e jovens","Family benefit")</f>
        <v>Subsídio familiar a crianças e jovens</v>
      </c>
      <c r="D43" s="842">
        <v>785.93262444000004</v>
      </c>
      <c r="E43" s="842">
        <v>838.27399400000002</v>
      </c>
      <c r="F43" s="842">
        <v>785.93262444000004</v>
      </c>
      <c r="G43" s="842">
        <v>816.76056216999996</v>
      </c>
      <c r="H43" s="857">
        <f t="shared" si="14"/>
        <v>3.9224657141527524</v>
      </c>
      <c r="I43" s="843">
        <f t="shared" ref="I43:I49" si="18">IFERROR((G43-F43)/$F$68*100,"-")</f>
        <v>9.8686422053089237E-2</v>
      </c>
      <c r="J43" s="217"/>
      <c r="K43" s="217"/>
      <c r="L43" s="217"/>
      <c r="N43" s="454"/>
      <c r="O43" s="454"/>
    </row>
    <row r="44" spans="3:15" s="129" customFormat="1" ht="15" customHeight="1">
      <c r="C44" s="844" t="str">
        <f>IF(Indice_index!$Z$1=1,"Subsídio por doença","Illness benefit")</f>
        <v>Subsídio por doença</v>
      </c>
      <c r="D44" s="842">
        <v>753.50125893000006</v>
      </c>
      <c r="E44" s="842">
        <v>799.45637299999999</v>
      </c>
      <c r="F44" s="842">
        <v>753.50125893000006</v>
      </c>
      <c r="G44" s="842">
        <v>808.58261391999997</v>
      </c>
      <c r="H44" s="843">
        <f t="shared" si="14"/>
        <v>7.3100548057766339</v>
      </c>
      <c r="I44" s="843">
        <f t="shared" si="18"/>
        <v>0.17632648325059333</v>
      </c>
      <c r="J44" s="217"/>
      <c r="K44" s="217"/>
      <c r="L44" s="217"/>
      <c r="N44" s="454"/>
      <c r="O44" s="454"/>
    </row>
    <row r="45" spans="3:15" s="129" customFormat="1" ht="15" customHeight="1">
      <c r="C45" s="844" t="str">
        <f>IF(Indice_index!$Z$1=1,"Prestações de desemprego","Unemployment benefits")</f>
        <v>Prestações de desemprego</v>
      </c>
      <c r="D45" s="842">
        <v>1592.5085594000002</v>
      </c>
      <c r="E45" s="842">
        <v>1542.9161469999999</v>
      </c>
      <c r="F45" s="842">
        <v>1592.5085594000002</v>
      </c>
      <c r="G45" s="842">
        <v>1276.3200268200001</v>
      </c>
      <c r="H45" s="843">
        <f t="shared" si="14"/>
        <v>-19.854746193585836</v>
      </c>
      <c r="I45" s="843">
        <f t="shared" si="18"/>
        <v>-1.0121830155434446</v>
      </c>
      <c r="J45" s="217"/>
      <c r="K45" s="217"/>
      <c r="L45" s="217"/>
      <c r="N45" s="454"/>
      <c r="O45" s="454"/>
    </row>
    <row r="46" spans="3:15" s="129" customFormat="1" ht="15" customHeight="1">
      <c r="C46" s="844" t="str">
        <f>IF(Indice_index!$Z$1=1,"Complemento Solidário para Idosos","Elderly pension supplement")</f>
        <v>Complemento Solidário para Idosos</v>
      </c>
      <c r="D46" s="842">
        <v>204.31185116</v>
      </c>
      <c r="E46" s="842">
        <v>205.21606800000001</v>
      </c>
      <c r="F46" s="842">
        <v>204.31185116</v>
      </c>
      <c r="G46" s="842">
        <v>199.16538064999997</v>
      </c>
      <c r="H46" s="843">
        <f t="shared" si="14"/>
        <v>-2.5189290199175685</v>
      </c>
      <c r="I46" s="843">
        <f t="shared" si="18"/>
        <v>-1.6474886036226648E-2</v>
      </c>
      <c r="J46" s="217"/>
      <c r="K46" s="217"/>
      <c r="L46" s="217"/>
      <c r="N46" s="454"/>
      <c r="O46" s="454"/>
    </row>
    <row r="47" spans="3:15" s="129" customFormat="1" ht="15" customHeight="1">
      <c r="C47" s="844" t="str">
        <f>IF(Indice_index!$Z$1=1,"Prestação Social para a Inclusão","Social benefits for inclusion")</f>
        <v>Prestação Social para a Inclusão</v>
      </c>
      <c r="D47" s="842">
        <v>524.53333005000002</v>
      </c>
      <c r="E47" s="842">
        <v>450.62609900000001</v>
      </c>
      <c r="F47" s="842">
        <v>524.53333005000002</v>
      </c>
      <c r="G47" s="842">
        <v>474.24287370999997</v>
      </c>
      <c r="H47" s="843">
        <f t="shared" si="14"/>
        <v>-9.5876569626578778</v>
      </c>
      <c r="I47" s="843">
        <f t="shared" si="18"/>
        <v>-0.16098985417315217</v>
      </c>
      <c r="J47" s="217"/>
      <c r="K47" s="217"/>
      <c r="L47" s="217"/>
      <c r="N47" s="454"/>
      <c r="O47" s="454"/>
    </row>
    <row r="48" spans="3:15" s="129" customFormat="1" ht="15" customHeight="1">
      <c r="C48" s="844" t="str">
        <f>IF(Indice_index!$Z$1=1,"Prestações de parentalidade","Parenthood benefits")</f>
        <v>Prestações de parentalidade</v>
      </c>
      <c r="D48" s="842">
        <v>638.13390999000012</v>
      </c>
      <c r="E48" s="842">
        <v>672.95038899999997</v>
      </c>
      <c r="F48" s="842">
        <v>638.13390999000012</v>
      </c>
      <c r="G48" s="842">
        <v>717.01722439000014</v>
      </c>
      <c r="H48" s="843">
        <f t="shared" si="14"/>
        <v>12.361561290675834</v>
      </c>
      <c r="I48" s="843">
        <f t="shared" si="18"/>
        <v>0.25252133717168224</v>
      </c>
      <c r="J48" s="217"/>
      <c r="K48" s="217"/>
      <c r="L48" s="217"/>
      <c r="N48" s="454"/>
      <c r="O48" s="454"/>
    </row>
    <row r="49" spans="3:15" s="129" customFormat="1" ht="15" customHeight="1">
      <c r="C49" s="844" t="str">
        <f>IF(Indice_index!$Z$1=1,"Medidas excecionais e temporárias (COVID-19)","Exceptional and temporary measures (COVID-19)")</f>
        <v>Medidas excecionais e temporárias (COVID-19)</v>
      </c>
      <c r="D49" s="842">
        <v>1919.9825029600001</v>
      </c>
      <c r="E49" s="842">
        <v>200</v>
      </c>
      <c r="F49" s="842">
        <v>1919.9825029600001</v>
      </c>
      <c r="G49" s="842">
        <v>599.21739669999988</v>
      </c>
      <c r="H49" s="843">
        <f t="shared" si="14"/>
        <v>-68.790476174850653</v>
      </c>
      <c r="I49" s="843">
        <f t="shared" si="18"/>
        <v>-4.2280344488475778</v>
      </c>
      <c r="J49" s="616"/>
      <c r="K49" s="217"/>
      <c r="L49" s="217"/>
      <c r="N49" s="454"/>
      <c r="O49" s="454"/>
    </row>
    <row r="50" spans="3:15" s="129" customFormat="1" ht="15" hidden="1" customHeight="1">
      <c r="C50" s="844" t="str">
        <f>IF(Indice_index!$Z$1=1,"Complemento-creche","Child daycare supplement")</f>
        <v>Complemento-creche</v>
      </c>
      <c r="D50" s="842">
        <v>0</v>
      </c>
      <c r="E50" s="842">
        <v>0</v>
      </c>
      <c r="F50" s="842">
        <v>0</v>
      </c>
      <c r="G50" s="842">
        <v>0</v>
      </c>
      <c r="H50" s="843" t="str">
        <f t="shared" ref="H50:H51" si="19">IF(IFERROR((G50-F50)/F50*100,"")&gt;500,"-",IFERROR((G50-F50)/F50*100,""))</f>
        <v>-</v>
      </c>
      <c r="I50" s="843">
        <f t="shared" ref="I50:I51" si="20">IFERROR((G50-F50)/$F$68*100,"-")</f>
        <v>0</v>
      </c>
      <c r="J50" s="217"/>
      <c r="K50" s="217"/>
      <c r="L50" s="217"/>
      <c r="N50" s="454"/>
      <c r="O50" s="454"/>
    </row>
    <row r="51" spans="3:15" s="129" customFormat="1" ht="15" customHeight="1">
      <c r="C51" s="844" t="s">
        <v>579</v>
      </c>
      <c r="D51" s="842">
        <v>0</v>
      </c>
      <c r="E51" s="842">
        <v>35.451974</v>
      </c>
      <c r="F51" s="842">
        <v>0</v>
      </c>
      <c r="G51" s="842">
        <v>25.081230440000002</v>
      </c>
      <c r="H51" s="843" t="str">
        <f t="shared" si="19"/>
        <v>-</v>
      </c>
      <c r="I51" s="843">
        <f t="shared" si="20"/>
        <v>8.0290057495605166E-2</v>
      </c>
      <c r="J51" s="217"/>
      <c r="K51" s="217"/>
      <c r="L51" s="217"/>
      <c r="N51" s="454"/>
      <c r="O51" s="454"/>
    </row>
    <row r="52" spans="3:15" s="129" customFormat="1" ht="15" customHeight="1">
      <c r="C52" s="844" t="str">
        <f>IF(Indice_index!$Z$1=1,"Outras prestações","Other benefits")</f>
        <v>Outras prestações</v>
      </c>
      <c r="D52" s="842">
        <v>393.84301586999993</v>
      </c>
      <c r="E52" s="842">
        <v>404.353476</v>
      </c>
      <c r="F52" s="842">
        <v>393.84301586999993</v>
      </c>
      <c r="G52" s="842">
        <v>878.59469382000009</v>
      </c>
      <c r="H52" s="843">
        <f t="shared" si="14"/>
        <v>123.08246139116694</v>
      </c>
      <c r="I52" s="843">
        <f t="shared" ref="I52:I59" si="21">IFERROR((G52-F52)/$F$68*100,"-")</f>
        <v>1.5517875084639026</v>
      </c>
      <c r="J52" s="217"/>
      <c r="K52" s="217"/>
      <c r="L52" s="217"/>
      <c r="N52" s="454"/>
      <c r="O52" s="454"/>
    </row>
    <row r="53" spans="3:15" s="129" customFormat="1" ht="15" customHeight="1">
      <c r="C53" s="844" t="str">
        <f>IF(Indice_index!$Z$1=1,"Ação social","Social assistance")</f>
        <v>Ação social</v>
      </c>
      <c r="D53" s="842">
        <v>2047.68765882</v>
      </c>
      <c r="E53" s="842">
        <v>2241.9352680000002</v>
      </c>
      <c r="F53" s="842">
        <v>2047.68765882</v>
      </c>
      <c r="G53" s="842">
        <v>2271.3138019500002</v>
      </c>
      <c r="H53" s="843">
        <f t="shared" si="14"/>
        <v>10.920910821861716</v>
      </c>
      <c r="I53" s="843">
        <f t="shared" si="21"/>
        <v>0.71587221098982667</v>
      </c>
      <c r="J53" s="217"/>
      <c r="K53" s="217"/>
      <c r="L53" s="217"/>
      <c r="N53" s="454"/>
      <c r="O53" s="454"/>
    </row>
    <row r="54" spans="3:15" s="129" customFormat="1" ht="15" customHeight="1">
      <c r="C54" s="844" t="str">
        <f>IF(Indice_index!$Z$1=1,"Rendimento Social de Inserção","Social Integration Income")</f>
        <v>Rendimento Social de Inserção</v>
      </c>
      <c r="D54" s="842">
        <v>356.16135638999998</v>
      </c>
      <c r="E54" s="842">
        <v>377.199883</v>
      </c>
      <c r="F54" s="842">
        <v>356.16135638999998</v>
      </c>
      <c r="G54" s="842">
        <v>338.97606319000005</v>
      </c>
      <c r="H54" s="843">
        <f t="shared" si="14"/>
        <v>-4.8251425629629168</v>
      </c>
      <c r="I54" s="843">
        <f t="shared" si="21"/>
        <v>-5.5013576084619993E-2</v>
      </c>
      <c r="J54" s="217"/>
      <c r="K54" s="217"/>
      <c r="L54" s="217"/>
      <c r="N54" s="454"/>
      <c r="O54" s="454"/>
    </row>
    <row r="55" spans="3:15" s="129" customFormat="1" ht="15" customHeight="1">
      <c r="C55" s="844" t="str">
        <f>IF(Indice_index!$Z$1=1,"Subsídio de Apoio ao Cuidador Informal","Social Benefit for Informal Caregivers")</f>
        <v>Subsídio de Apoio ao Cuidador Informal</v>
      </c>
      <c r="D55" s="842">
        <v>1.5937378499999999</v>
      </c>
      <c r="E55" s="842">
        <v>30</v>
      </c>
      <c r="F55" s="842">
        <v>1.5937378499999999</v>
      </c>
      <c r="G55" s="842">
        <v>7.6047567899999997</v>
      </c>
      <c r="H55" s="843">
        <f t="shared" si="14"/>
        <v>377.16484803319446</v>
      </c>
      <c r="I55" s="843">
        <f t="shared" si="21"/>
        <v>1.9242479249744957E-2</v>
      </c>
      <c r="J55" s="217"/>
      <c r="K55" s="217"/>
      <c r="L55" s="217"/>
      <c r="N55" s="454"/>
      <c r="O55" s="454"/>
    </row>
    <row r="56" spans="3:15" s="129" customFormat="1" ht="15" customHeight="1">
      <c r="C56" s="858" t="str">
        <f>IF(Indice_index!$Z$1=1,"Pensão velhice do regime substitutivo dos bancários","Old age pension scheme from Banking regime")</f>
        <v>Pensão velhice do regime substitutivo dos bancários</v>
      </c>
      <c r="D56" s="842">
        <v>429.57635345999995</v>
      </c>
      <c r="E56" s="842">
        <v>419.72063000000003</v>
      </c>
      <c r="F56" s="842">
        <v>429.57635345999995</v>
      </c>
      <c r="G56" s="842">
        <v>416.76939270999992</v>
      </c>
      <c r="H56" s="857">
        <f t="shared" si="14"/>
        <v>-2.9813002151647883</v>
      </c>
      <c r="I56" s="843">
        <f t="shared" si="21"/>
        <v>-4.0997654298552871E-2</v>
      </c>
      <c r="J56" s="217"/>
      <c r="K56" s="217"/>
      <c r="L56" s="217"/>
      <c r="M56" s="127"/>
      <c r="N56" s="454"/>
      <c r="O56" s="454"/>
    </row>
    <row r="57" spans="3:15" ht="15" customHeight="1">
      <c r="C57" s="853" t="str">
        <f>IF(Indice_index!$Z$1=1,"Administração","Administration")</f>
        <v>Administração</v>
      </c>
      <c r="D57" s="842">
        <v>327.75730796999994</v>
      </c>
      <c r="E57" s="842">
        <v>405.168835</v>
      </c>
      <c r="F57" s="842">
        <v>327.75730796916508</v>
      </c>
      <c r="G57" s="842">
        <v>340.56363255999992</v>
      </c>
      <c r="H57" s="843">
        <f t="shared" si="14"/>
        <v>3.9072582912597125</v>
      </c>
      <c r="I57" s="857">
        <f t="shared" si="21"/>
        <v>4.0995617825259734E-2</v>
      </c>
      <c r="J57" s="217"/>
      <c r="K57" s="217"/>
      <c r="L57" s="217"/>
      <c r="N57" s="454"/>
      <c r="O57" s="454"/>
    </row>
    <row r="58" spans="3:15" ht="15" customHeight="1">
      <c r="C58" s="853" t="str">
        <f>IF(Indice_index!$Z$1=1,"Transferências correntes","Current transfers")</f>
        <v>Transferências correntes</v>
      </c>
      <c r="D58" s="842">
        <v>1313.6678272599991</v>
      </c>
      <c r="E58" s="842">
        <v>1424.7060240000001</v>
      </c>
      <c r="F58" s="842">
        <v>1313.6678272599991</v>
      </c>
      <c r="G58" s="842">
        <v>1345.56089707</v>
      </c>
      <c r="H58" s="843">
        <f>IF(IFERROR((G58-F58)/F58*100,"")&gt;500,"-",IFERROR((G58-F58)/F58*100,""))</f>
        <v>2.4277879954266952</v>
      </c>
      <c r="I58" s="857">
        <f t="shared" si="21"/>
        <v>0.10209612382781989</v>
      </c>
      <c r="J58" s="217"/>
      <c r="K58" s="217"/>
      <c r="L58" s="217"/>
      <c r="N58" s="454"/>
      <c r="O58" s="454"/>
    </row>
    <row r="59" spans="3:15" ht="15" customHeight="1">
      <c r="C59" s="858" t="str">
        <f>IF(Indice_index!$Z$1=1,"Ações de Formação Profissional","Vocational Training Programs")</f>
        <v>Ações de Formação Profissional</v>
      </c>
      <c r="D59" s="842">
        <v>1279.2804758</v>
      </c>
      <c r="E59" s="842">
        <v>1539.1685090000001</v>
      </c>
      <c r="F59" s="842">
        <v>1279.2804758</v>
      </c>
      <c r="G59" s="842">
        <v>978.39725237000005</v>
      </c>
      <c r="H59" s="843">
        <f t="shared" si="14"/>
        <v>-23.519722931895927</v>
      </c>
      <c r="I59" s="843">
        <f t="shared" si="21"/>
        <v>-0.96318764609451546</v>
      </c>
      <c r="J59" s="217"/>
      <c r="K59" s="217"/>
      <c r="L59" s="217"/>
      <c r="N59" s="454"/>
      <c r="O59" s="454"/>
    </row>
    <row r="60" spans="3:15" ht="15" customHeight="1">
      <c r="C60" s="845" t="str">
        <f>IF(Indice_index!$Z$1=1,"dos quais:","of which:")</f>
        <v>dos quais:</v>
      </c>
      <c r="D60" s="842"/>
      <c r="E60" s="842"/>
      <c r="F60" s="842"/>
      <c r="G60" s="842"/>
      <c r="H60" s="843"/>
      <c r="I60" s="843"/>
      <c r="J60" s="217"/>
      <c r="K60" s="217"/>
      <c r="L60" s="217"/>
      <c r="N60" s="454"/>
      <c r="O60" s="454"/>
    </row>
    <row r="61" spans="3:15" s="130" customFormat="1" ht="15" customHeight="1">
      <c r="C61" s="859" t="str">
        <f>IF(Indice_index!$Z$1=1,"Com suporte no Fundo Social Europeu","Supported by the European Social Fund")</f>
        <v>Com suporte no Fundo Social Europeu</v>
      </c>
      <c r="D61" s="842">
        <v>1210.2826756499999</v>
      </c>
      <c r="E61" s="842">
        <v>1398.0811430000001</v>
      </c>
      <c r="F61" s="842">
        <v>1210.2826756499999</v>
      </c>
      <c r="G61" s="842">
        <v>898.49520706999988</v>
      </c>
      <c r="H61" s="843">
        <f t="shared" ref="H61:H66" si="22">IF(IFERROR((G61-F61)/F61*100,"")&gt;500,"-",IFERROR((G61-F61)/F61*100,""))</f>
        <v>-25.761541072423434</v>
      </c>
      <c r="I61" s="843">
        <f t="shared" ref="I61:I66" si="23">IFERROR((G61-F61)/$F$68*100,"-")</f>
        <v>-0.99809432549902399</v>
      </c>
      <c r="J61" s="217"/>
      <c r="K61" s="217"/>
      <c r="L61" s="217"/>
      <c r="N61" s="454"/>
      <c r="O61" s="454"/>
    </row>
    <row r="62" spans="3:15" s="130" customFormat="1" ht="15" customHeight="1">
      <c r="C62" s="858" t="str">
        <f>IF(Indice_index!$Z$1=1,"Subsídios Correntes - Outros PO PT2020","Current subsidies – Others PO PT2020")</f>
        <v>Subsídios Correntes - Outros PO PT2020</v>
      </c>
      <c r="D62" s="842">
        <v>165.51368667</v>
      </c>
      <c r="E62" s="842">
        <v>237.78716399999999</v>
      </c>
      <c r="F62" s="842">
        <v>165.51368667</v>
      </c>
      <c r="G62" s="842">
        <v>189.53192079000002</v>
      </c>
      <c r="H62" s="843">
        <f t="shared" si="22"/>
        <v>14.511328098133298</v>
      </c>
      <c r="I62" s="843">
        <f t="shared" si="23"/>
        <v>7.6887192717715297E-2</v>
      </c>
      <c r="J62" s="217"/>
      <c r="K62" s="217"/>
      <c r="L62" s="217"/>
      <c r="N62" s="454"/>
      <c r="O62" s="454"/>
    </row>
    <row r="63" spans="3:15" s="130" customFormat="1" ht="15" customHeight="1">
      <c r="C63" s="858"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3" s="842">
        <v>3.5964934799999964</v>
      </c>
      <c r="E63" s="842">
        <v>11.079412</v>
      </c>
      <c r="F63" s="842">
        <v>3.5964934799999964</v>
      </c>
      <c r="G63" s="842">
        <v>4.3418858499999988</v>
      </c>
      <c r="H63" s="843">
        <f t="shared" si="22"/>
        <v>20.725530969126162</v>
      </c>
      <c r="I63" s="843">
        <f t="shared" si="23"/>
        <v>2.3861507268255694E-3</v>
      </c>
      <c r="J63" s="217"/>
      <c r="K63" s="217"/>
      <c r="L63" s="217"/>
      <c r="N63" s="454"/>
      <c r="O63" s="454"/>
    </row>
    <row r="64" spans="3:15" s="295" customFormat="1" ht="15" customHeight="1">
      <c r="C64" s="838" t="str">
        <f>IF(Indice_index!$Z$1=1,"Despesa de Capital","Capital expenditure")</f>
        <v>Despesa de Capital</v>
      </c>
      <c r="D64" s="839">
        <f t="shared" ref="D64:E64" si="24">+D65+D66</f>
        <v>41.481170159999998</v>
      </c>
      <c r="E64" s="839">
        <f t="shared" si="24"/>
        <v>98.483846</v>
      </c>
      <c r="F64" s="839">
        <f t="shared" ref="F64:G64" si="25">+F65+F66</f>
        <v>41.481170159999998</v>
      </c>
      <c r="G64" s="839">
        <f t="shared" si="25"/>
        <v>48.814385549999997</v>
      </c>
      <c r="H64" s="840">
        <f t="shared" si="22"/>
        <v>17.678419778696039</v>
      </c>
      <c r="I64" s="840">
        <f t="shared" si="23"/>
        <v>2.3475095717463396E-2</v>
      </c>
      <c r="J64" s="621"/>
      <c r="K64" s="296"/>
      <c r="L64" s="296"/>
      <c r="N64" s="454"/>
      <c r="O64" s="454"/>
    </row>
    <row r="65" spans="3:18" ht="15" customHeight="1">
      <c r="C65" s="849" t="str">
        <f>IF(Indice_index!$Z$1=1,"PIDDAC","PIDDAC - Central Admin. Invest. and Expend. Develop. Program")</f>
        <v>PIDDAC</v>
      </c>
      <c r="D65" s="842">
        <v>0.35642126000000002</v>
      </c>
      <c r="E65" s="842">
        <v>2.8776079999999999</v>
      </c>
      <c r="F65" s="842">
        <v>0.35642126000000002</v>
      </c>
      <c r="G65" s="842">
        <v>0.79722448000000001</v>
      </c>
      <c r="H65" s="856">
        <f t="shared" si="22"/>
        <v>123.67478303623076</v>
      </c>
      <c r="I65" s="843">
        <f t="shared" si="23"/>
        <v>1.4110996652542175E-3</v>
      </c>
      <c r="J65" s="217"/>
      <c r="K65" s="217"/>
      <c r="L65" s="217"/>
      <c r="M65" s="127"/>
      <c r="N65" s="454"/>
      <c r="O65" s="454"/>
    </row>
    <row r="66" spans="3:18" ht="15" customHeight="1">
      <c r="C66" s="849" t="str">
        <f>IF(Indice_index!$Z$1=1,"Outras","Others")</f>
        <v>Outras</v>
      </c>
      <c r="D66" s="842">
        <v>41.1247489</v>
      </c>
      <c r="E66" s="842">
        <v>95.606238000000005</v>
      </c>
      <c r="F66" s="842">
        <v>41.1247489</v>
      </c>
      <c r="G66" s="842">
        <v>48.01716107</v>
      </c>
      <c r="H66" s="856">
        <f t="shared" si="22"/>
        <v>16.759767182432572</v>
      </c>
      <c r="I66" s="843">
        <f t="shared" si="23"/>
        <v>2.206399605220918E-2</v>
      </c>
      <c r="J66" s="217"/>
      <c r="K66" s="217"/>
      <c r="L66" s="217"/>
      <c r="N66" s="454"/>
      <c r="O66" s="454"/>
    </row>
    <row r="67" spans="3:18" ht="4.5" customHeight="1">
      <c r="C67" s="836"/>
      <c r="D67" s="842"/>
      <c r="E67" s="842"/>
      <c r="F67" s="842"/>
      <c r="G67" s="842"/>
      <c r="H67" s="843"/>
      <c r="I67" s="836"/>
      <c r="J67" s="217"/>
      <c r="K67" s="217"/>
      <c r="L67" s="217"/>
      <c r="N67" s="454"/>
      <c r="O67" s="454"/>
    </row>
    <row r="68" spans="3:18" s="295" customFormat="1" ht="15" customHeight="1">
      <c r="C68" s="850" t="str">
        <f>IF(Indice_index!$Z$1=1,"Despesa efetiva","Effective expenditure")</f>
        <v>Despesa efetiva</v>
      </c>
      <c r="D68" s="851">
        <f>+D34+D64</f>
        <v>31238.276845640001</v>
      </c>
      <c r="E68" s="851">
        <f>+E34+E64</f>
        <v>31012.808222</v>
      </c>
      <c r="F68" s="851">
        <f>+F34+F64</f>
        <v>31238.276845639164</v>
      </c>
      <c r="G68" s="851">
        <f>+G34+G64</f>
        <v>31456.936070539999</v>
      </c>
      <c r="H68" s="852">
        <f>IF(IFERROR((G68-F68)/F68*100,"")&gt;500,"-",IFERROR((G68-F68)/F68*100,""))</f>
        <v>0.69997210787687869</v>
      </c>
      <c r="I68" s="852"/>
      <c r="J68" s="296"/>
      <c r="K68" s="296"/>
      <c r="L68" s="296"/>
      <c r="N68" s="454"/>
      <c r="O68" s="454"/>
    </row>
    <row r="69" spans="3:18" ht="4.5" customHeight="1">
      <c r="C69" s="860"/>
      <c r="D69" s="608"/>
      <c r="E69" s="608"/>
      <c r="F69" s="608"/>
      <c r="G69" s="608"/>
      <c r="H69" s="861"/>
      <c r="I69" s="861"/>
      <c r="J69" s="217"/>
      <c r="K69" s="217"/>
      <c r="L69" s="217"/>
      <c r="M69" s="127"/>
      <c r="N69" s="454"/>
      <c r="O69" s="454"/>
    </row>
    <row r="70" spans="3:18" s="297" customFormat="1" ht="15" customHeight="1">
      <c r="C70" s="850" t="str">
        <f>IF(Indice_index!$Z$1=1,"Saldo global","Overall balance")</f>
        <v>Saldo global</v>
      </c>
      <c r="D70" s="851">
        <f>+D32-D68</f>
        <v>2328.2650340599866</v>
      </c>
      <c r="E70" s="851">
        <f>+E32-E68</f>
        <v>2596.0109850000008</v>
      </c>
      <c r="F70" s="851">
        <f>+F32-F68</f>
        <v>2328.2650340608234</v>
      </c>
      <c r="G70" s="851">
        <f>+G32-G68</f>
        <v>4065.8513510100056</v>
      </c>
      <c r="H70" s="851"/>
      <c r="I70" s="851"/>
      <c r="J70" s="296"/>
      <c r="K70" s="296"/>
      <c r="L70" s="296"/>
      <c r="M70" s="295"/>
      <c r="N70" s="454"/>
      <c r="O70" s="454"/>
    </row>
    <row r="71" spans="3:18" ht="4.5" customHeight="1">
      <c r="C71" s="862"/>
      <c r="D71" s="842"/>
      <c r="E71" s="842"/>
      <c r="F71" s="842"/>
      <c r="G71" s="842"/>
      <c r="H71" s="836"/>
      <c r="I71" s="836"/>
      <c r="J71" s="217"/>
      <c r="K71" s="217"/>
      <c r="L71" s="217"/>
      <c r="N71" s="454"/>
      <c r="O71" s="454"/>
    </row>
    <row r="72" spans="3:18" ht="15" customHeight="1">
      <c r="C72" s="863" t="str">
        <f>IF(Indice_index!$Z$1=1,"Ativos financeiros líquidos de reembolsos","Financial assets net of reimbursements")</f>
        <v>Ativos financeiros líquidos de reembolsos</v>
      </c>
      <c r="D72" s="864">
        <v>4376.8330583500019</v>
      </c>
      <c r="E72" s="864">
        <v>451.730343</v>
      </c>
      <c r="F72" s="864">
        <v>4376.8330583500019</v>
      </c>
      <c r="G72" s="864">
        <v>2688.9266680199985</v>
      </c>
      <c r="H72" s="865"/>
      <c r="I72" s="866"/>
      <c r="J72" s="217"/>
      <c r="K72" s="217"/>
      <c r="L72" s="217"/>
      <c r="N72" s="454"/>
      <c r="O72" s="454"/>
    </row>
    <row r="73" spans="3:18" ht="15" hidden="1" customHeight="1">
      <c r="C73" s="867" t="str">
        <f>IF(Indice_index!$Z$1=1,"Alienação de partes de Capital","Disposal of Capital Shares")</f>
        <v>Alienação de partes de Capital</v>
      </c>
      <c r="D73" s="864">
        <v>0</v>
      </c>
      <c r="E73" s="864">
        <v>0</v>
      </c>
      <c r="F73" s="864">
        <v>0</v>
      </c>
      <c r="G73" s="864">
        <v>0</v>
      </c>
      <c r="H73" s="865"/>
      <c r="I73" s="865"/>
      <c r="J73" s="217"/>
      <c r="K73" s="217"/>
      <c r="L73" s="217"/>
      <c r="N73" s="454"/>
      <c r="O73" s="454"/>
    </row>
    <row r="74" spans="3:18" ht="15" customHeight="1">
      <c r="C74" s="863" t="str">
        <f>IF(Indice_index!$Z$1=1,"Passivos financeiros líquidos de amortizações","Financial liabilities net of amortizations")</f>
        <v>Passivos financeiros líquidos de amortizações</v>
      </c>
      <c r="D74" s="864">
        <v>0</v>
      </c>
      <c r="E74" s="864">
        <v>-39.512804000000003</v>
      </c>
      <c r="F74" s="864">
        <v>0</v>
      </c>
      <c r="G74" s="864">
        <f>-58375.83/10^6</f>
        <v>-5.8375830000000004E-2</v>
      </c>
      <c r="H74" s="865"/>
      <c r="I74" s="865"/>
      <c r="J74" s="217"/>
      <c r="K74" s="217"/>
      <c r="L74" s="217"/>
      <c r="N74" s="454"/>
      <c r="O74" s="454"/>
    </row>
    <row r="75" spans="3:18" ht="15" customHeight="1">
      <c r="C75" s="868" t="str">
        <f>IF(Indice_index!$Z$1=1,"Poupança (+) / Utilização (-) de saldo da gerência anterior","Saving (+) / Usage (-) of balance from previous management")</f>
        <v>Poupança (+) / Utilização (-) de saldo da gerência anterior</v>
      </c>
      <c r="D75" s="869">
        <f t="shared" ref="D75" si="26">+D70-D72+D74</f>
        <v>-2048.5680242900153</v>
      </c>
      <c r="E75" s="869">
        <v>2104.7678379999934</v>
      </c>
      <c r="F75" s="869">
        <f>(+F70-F72+F74)</f>
        <v>-2048.5680242891785</v>
      </c>
      <c r="G75" s="869">
        <f>(+G70-G72+G74)</f>
        <v>1376.8663071600072</v>
      </c>
      <c r="H75" s="870"/>
      <c r="I75" s="870"/>
      <c r="J75" s="217"/>
      <c r="K75" s="217"/>
      <c r="L75" s="217"/>
      <c r="N75" s="454"/>
      <c r="O75" s="454"/>
    </row>
    <row r="76" spans="3:18" ht="4.5" customHeight="1">
      <c r="C76" s="836"/>
      <c r="D76" s="836"/>
      <c r="E76" s="836"/>
      <c r="F76" s="842"/>
      <c r="G76" s="842"/>
      <c r="H76" s="836"/>
      <c r="I76" s="836"/>
      <c r="J76" s="381"/>
      <c r="K76" s="131"/>
    </row>
    <row r="77" spans="3:18" ht="15" customHeight="1">
      <c r="C77" s="871" t="str">
        <f>IF(Indice_index!$Z$1=1,"Notas:","Notes:")</f>
        <v>Notas:</v>
      </c>
      <c r="D77" s="871"/>
      <c r="E77" s="871"/>
      <c r="F77" s="330"/>
      <c r="G77" s="137"/>
      <c r="H77" s="609"/>
      <c r="I77" s="609"/>
      <c r="K77" s="131"/>
    </row>
    <row r="78" spans="3:18" s="96" customFormat="1" ht="15" customHeight="1">
      <c r="C78" s="1743" t="str">
        <f>IF(Indice_index!$Z$1=1,"Valores consolidados - são excluídas transferências intra-setoriais.","Consolidated data - transfers within the subsector are excluded.")</f>
        <v>Valores consolidados - são excluídas transferências intra-setoriais.</v>
      </c>
      <c r="D78" s="1743"/>
      <c r="E78" s="1743"/>
      <c r="F78" s="1743"/>
      <c r="G78" s="1743"/>
      <c r="H78" s="1743"/>
      <c r="I78" s="1743"/>
    </row>
    <row r="79" spans="3:18" ht="15" customHeight="1">
      <c r="C79" s="1743"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9" s="1743"/>
      <c r="E79" s="1743"/>
      <c r="F79" s="1743"/>
      <c r="G79" s="1743"/>
      <c r="H79" s="1743"/>
      <c r="I79" s="1743"/>
      <c r="J79" s="53"/>
      <c r="K79" s="62"/>
    </row>
    <row r="80" spans="3:18" s="22" customFormat="1" ht="15" customHeight="1">
      <c r="C80" s="1744" t="str">
        <f>+'5 - Conta AC + SS'!$C$64</f>
        <v>Os dados da execução acumulada de 2021 correspondem aos valores publicados na Conta Geral do Estado.</v>
      </c>
      <c r="D80" s="1744"/>
      <c r="E80" s="1744"/>
      <c r="F80" s="1744"/>
      <c r="G80" s="1744"/>
      <c r="H80" s="1744"/>
      <c r="I80" s="1744"/>
      <c r="J80" s="62"/>
      <c r="Q80" s="24"/>
      <c r="R80" s="24"/>
    </row>
    <row r="81" spans="3:11" ht="62.25" customHeight="1">
      <c r="C81" s="1739" t="str">
        <f>IF(Indice_index!$Z$1=1,C113,C114)</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81" s="1739"/>
      <c r="E81" s="1739"/>
      <c r="F81" s="1739"/>
      <c r="G81" s="1739"/>
      <c r="H81" s="1739"/>
      <c r="I81" s="1739"/>
      <c r="J81" s="53"/>
      <c r="K81" s="62"/>
    </row>
    <row r="82" spans="3:11" ht="4.5" customHeight="1">
      <c r="C82" s="609"/>
      <c r="D82" s="609"/>
      <c r="E82" s="609"/>
      <c r="F82" s="641"/>
      <c r="G82" s="872"/>
      <c r="H82" s="609"/>
      <c r="I82" s="609"/>
    </row>
    <row r="83" spans="3:11" ht="15" customHeight="1">
      <c r="C83" s="836" t="str">
        <f>IF(Indice_index!$Z$1=1,"Fonte: Instituto de Gestão Financeira da Segurança Social, IP","Souce: Social Security Finance Management Institute")</f>
        <v>Fonte: Instituto de Gestão Financeira da Segurança Social, IP</v>
      </c>
      <c r="D83" s="836"/>
      <c r="E83" s="836"/>
      <c r="F83" s="137"/>
      <c r="G83" s="137"/>
      <c r="H83" s="609"/>
      <c r="I83" s="609"/>
    </row>
    <row r="84" spans="3:11">
      <c r="F84" s="62"/>
      <c r="G84" s="62"/>
      <c r="H84" s="62"/>
      <c r="I84" s="62"/>
      <c r="J84" s="62"/>
      <c r="K84" s="57"/>
    </row>
    <row r="86" spans="3:11" ht="12.75">
      <c r="F86" s="96"/>
      <c r="G86" s="96"/>
    </row>
    <row r="87" spans="3:11">
      <c r="C87" s="609"/>
      <c r="D87" s="609"/>
      <c r="E87" s="609"/>
      <c r="F87" s="641"/>
      <c r="G87" s="641"/>
      <c r="H87" s="609"/>
      <c r="I87" s="609"/>
    </row>
    <row r="88" spans="3:11">
      <c r="C88" s="609"/>
      <c r="D88" s="609"/>
      <c r="E88" s="609"/>
      <c r="F88" s="641"/>
      <c r="G88" s="641"/>
      <c r="H88" s="609"/>
      <c r="I88" s="609"/>
    </row>
    <row r="89" spans="3:11">
      <c r="C89" s="609"/>
      <c r="D89" s="609"/>
      <c r="E89" s="609"/>
      <c r="F89" s="641"/>
      <c r="G89" s="641"/>
      <c r="H89" s="609"/>
      <c r="I89" s="609"/>
    </row>
    <row r="90" spans="3:11">
      <c r="C90" s="609"/>
      <c r="D90" s="609"/>
      <c r="E90" s="609"/>
      <c r="F90" s="641"/>
      <c r="G90" s="641"/>
      <c r="H90" s="609"/>
      <c r="I90" s="609"/>
    </row>
    <row r="91" spans="3:11">
      <c r="C91" s="609"/>
      <c r="D91" s="609"/>
      <c r="E91" s="609"/>
      <c r="F91" s="641"/>
      <c r="G91" s="641"/>
      <c r="H91" s="609"/>
      <c r="I91" s="609"/>
    </row>
    <row r="92" spans="3:11">
      <c r="C92" s="609"/>
      <c r="D92" s="609"/>
      <c r="E92" s="609"/>
      <c r="F92" s="641"/>
      <c r="G92" s="641"/>
      <c r="H92" s="609"/>
      <c r="I92" s="609"/>
    </row>
    <row r="93" spans="3:11">
      <c r="C93" s="609"/>
      <c r="D93" s="609"/>
      <c r="E93" s="609"/>
      <c r="F93" s="641"/>
      <c r="G93" s="641"/>
      <c r="H93" s="609"/>
      <c r="I93" s="609"/>
    </row>
    <row r="94" spans="3:11">
      <c r="C94" s="609"/>
      <c r="D94" s="609"/>
      <c r="E94" s="609"/>
      <c r="F94" s="641"/>
      <c r="G94" s="641"/>
      <c r="H94" s="609"/>
      <c r="I94" s="609"/>
    </row>
    <row r="95" spans="3:11">
      <c r="C95" s="609"/>
      <c r="D95" s="609"/>
      <c r="E95" s="609"/>
      <c r="F95" s="641"/>
      <c r="G95" s="641"/>
      <c r="H95" s="609"/>
      <c r="I95" s="609"/>
    </row>
    <row r="96" spans="3:11">
      <c r="C96" s="609"/>
      <c r="D96" s="609"/>
      <c r="E96" s="609"/>
      <c r="F96" s="641"/>
      <c r="G96" s="641"/>
      <c r="H96" s="609"/>
      <c r="I96" s="609"/>
    </row>
    <row r="97" spans="3:9">
      <c r="C97" s="609"/>
      <c r="D97" s="609"/>
      <c r="E97" s="609"/>
      <c r="F97" s="641"/>
      <c r="G97" s="641"/>
      <c r="H97" s="609"/>
      <c r="I97" s="609"/>
    </row>
    <row r="98" spans="3:9">
      <c r="C98" s="609"/>
      <c r="D98" s="609"/>
      <c r="E98" s="609"/>
      <c r="F98" s="641"/>
      <c r="G98" s="641"/>
      <c r="H98" s="609"/>
      <c r="I98" s="609"/>
    </row>
    <row r="99" spans="3:9">
      <c r="C99" s="609"/>
      <c r="D99" s="609"/>
      <c r="E99" s="609"/>
      <c r="F99" s="641"/>
      <c r="G99" s="641"/>
      <c r="H99" s="609"/>
      <c r="I99" s="609"/>
    </row>
    <row r="100" spans="3:9">
      <c r="C100" s="609"/>
      <c r="D100" s="609"/>
      <c r="E100" s="609"/>
      <c r="F100" s="641"/>
      <c r="G100" s="641"/>
      <c r="H100" s="609"/>
      <c r="I100" s="609"/>
    </row>
    <row r="101" spans="3:9">
      <c r="C101" s="609"/>
      <c r="D101" s="609"/>
      <c r="E101" s="609"/>
      <c r="F101" s="641"/>
      <c r="G101" s="641"/>
      <c r="H101" s="609"/>
      <c r="I101" s="609"/>
    </row>
    <row r="102" spans="3:9">
      <c r="C102" s="609"/>
      <c r="D102" s="609"/>
      <c r="E102" s="609"/>
      <c r="F102" s="641"/>
      <c r="G102" s="641"/>
      <c r="H102" s="609"/>
      <c r="I102" s="609"/>
    </row>
    <row r="103" spans="3:9">
      <c r="C103" s="609"/>
      <c r="D103" s="609"/>
      <c r="E103" s="609"/>
      <c r="F103" s="641"/>
      <c r="G103" s="641"/>
      <c r="H103" s="609"/>
      <c r="I103" s="609"/>
    </row>
    <row r="104" spans="3:9">
      <c r="C104" s="609"/>
      <c r="D104" s="609"/>
      <c r="E104" s="609"/>
      <c r="F104" s="641"/>
      <c r="G104" s="641"/>
      <c r="H104" s="609"/>
      <c r="I104" s="609"/>
    </row>
    <row r="105" spans="3:9">
      <c r="C105" s="609"/>
      <c r="D105" s="609"/>
      <c r="E105" s="609"/>
      <c r="F105" s="641"/>
      <c r="G105" s="641"/>
      <c r="H105" s="609"/>
      <c r="I105" s="609"/>
    </row>
    <row r="110" spans="3:9">
      <c r="C110" s="211"/>
      <c r="D110" s="211"/>
      <c r="E110" s="211"/>
    </row>
    <row r="111" spans="3:9" s="134" customFormat="1">
      <c r="C111" s="132" t="s">
        <v>7</v>
      </c>
      <c r="D111" s="132"/>
      <c r="E111" s="132"/>
      <c r="F111" s="133"/>
      <c r="G111" s="133"/>
    </row>
    <row r="112" spans="3:9">
      <c r="C112" s="132" t="s">
        <v>8</v>
      </c>
      <c r="D112" s="132"/>
      <c r="E112" s="132"/>
    </row>
    <row r="113" spans="3:9">
      <c r="C113" s="361" t="s">
        <v>59</v>
      </c>
      <c r="D113" s="358"/>
      <c r="E113" s="358"/>
      <c r="F113" s="359"/>
      <c r="G113" s="359"/>
      <c r="H113" s="360"/>
      <c r="I113" s="360"/>
    </row>
    <row r="114" spans="3:9">
      <c r="C114" s="361" t="s">
        <v>60</v>
      </c>
      <c r="D114" s="358"/>
      <c r="E114" s="358"/>
      <c r="F114" s="359"/>
      <c r="G114" s="359"/>
      <c r="H114" s="360"/>
      <c r="I114" s="360"/>
    </row>
  </sheetData>
  <mergeCells count="6">
    <mergeCell ref="C81:I81"/>
    <mergeCell ref="F6:G6"/>
    <mergeCell ref="H6:I6"/>
    <mergeCell ref="C78:I78"/>
    <mergeCell ref="C79:I79"/>
    <mergeCell ref="C80:I80"/>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C81 F78:G78 H78:I78 C78:C79 H7:I7 I6 G6 E6:F6 H6 D6" unlockedFormula="1"/>
    <ignoredError sqref="F33:G33 E9:G9 D35:D36 F14:G14 D9 D14:E14 E35:E36 G35:G36 F35:F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40625" defaultRowHeight="15"/>
  <cols>
    <col min="1" max="1" width="3.5703125" style="466" customWidth="1"/>
    <col min="2" max="2" width="4.42578125" style="466" customWidth="1"/>
    <col min="3" max="3" width="49" style="610" customWidth="1"/>
    <col min="4" max="5" width="9.42578125" style="610" hidden="1" customWidth="1"/>
    <col min="6" max="6" width="9.42578125" style="612" customWidth="1"/>
    <col min="7" max="7" width="10.5703125" style="612" customWidth="1"/>
    <col min="8" max="8" width="9.42578125" style="611" customWidth="1"/>
    <col min="9" max="9" width="9.42578125" style="612" customWidth="1"/>
    <col min="10" max="10" width="20.7109375" style="466" bestFit="1" customWidth="1"/>
    <col min="11" max="11" width="18.28515625" style="466" bestFit="1" customWidth="1"/>
    <col min="12" max="12" width="12.140625" style="466" bestFit="1" customWidth="1"/>
    <col min="13" max="15" width="8.5703125" style="466" customWidth="1"/>
    <col min="16" max="16384" width="9.140625" style="466"/>
  </cols>
  <sheetData>
    <row r="1" spans="2:19" ht="15" customHeight="1">
      <c r="G1" s="881"/>
      <c r="H1" s="882"/>
      <c r="I1" s="883"/>
      <c r="L1" s="469"/>
    </row>
    <row r="2" spans="2:19" ht="24" customHeight="1">
      <c r="B2" s="8"/>
      <c r="C2" s="331" t="str">
        <f>IF(Indice_index!$Z$1=1,"13 - Execução Orçamental da Segurança Social por Classificação Económica","13 - Social Security Budget Execution by Economic Categories")</f>
        <v>13 - Execução Orçamental da Segurança Social por Classificação Económica</v>
      </c>
      <c r="D2" s="331"/>
      <c r="E2" s="331"/>
      <c r="F2" s="331"/>
      <c r="G2" s="331"/>
      <c r="H2" s="331"/>
      <c r="I2" s="331"/>
      <c r="J2" s="467"/>
      <c r="K2" s="467"/>
      <c r="L2" s="467"/>
      <c r="M2" s="467"/>
      <c r="N2" s="467"/>
      <c r="O2" s="467"/>
      <c r="P2" s="467"/>
      <c r="Q2" s="467"/>
      <c r="R2" s="467"/>
      <c r="S2" s="467"/>
    </row>
    <row r="3" spans="2:19" ht="15" customHeight="1">
      <c r="B3" s="467"/>
      <c r="C3" s="884"/>
      <c r="D3" s="884"/>
      <c r="E3" s="884"/>
      <c r="F3" s="885"/>
      <c r="G3" s="885"/>
      <c r="H3" s="882"/>
      <c r="I3" s="883"/>
      <c r="J3" s="468"/>
      <c r="K3" s="467"/>
      <c r="L3" s="467"/>
      <c r="M3" s="467"/>
      <c r="N3" s="467"/>
      <c r="O3" s="467"/>
      <c r="P3" s="467"/>
      <c r="Q3" s="467"/>
      <c r="R3" s="467"/>
      <c r="S3" s="467"/>
    </row>
    <row r="4" spans="2:19" ht="15" customHeight="1">
      <c r="B4" s="467"/>
      <c r="C4" s="886"/>
      <c r="D4" s="886"/>
      <c r="E4" s="886"/>
      <c r="F4" s="887"/>
      <c r="G4" s="887"/>
      <c r="I4" s="610"/>
      <c r="J4" s="468"/>
      <c r="K4" s="467"/>
      <c r="M4" s="467"/>
      <c r="N4" s="467"/>
      <c r="O4" s="467"/>
      <c r="P4" s="467"/>
      <c r="Q4" s="467"/>
      <c r="R4" s="467"/>
      <c r="S4" s="467"/>
    </row>
    <row r="5" spans="2:19" s="471" customFormat="1" ht="15" customHeight="1">
      <c r="B5" s="470"/>
      <c r="C5" s="825" t="str">
        <f>+'5 - Conta AC + SS'!C5</f>
        <v>Período: janeiro a dezembro</v>
      </c>
      <c r="D5" s="825"/>
      <c r="E5" s="825"/>
      <c r="F5" s="888"/>
      <c r="G5" s="888"/>
      <c r="H5" s="889"/>
      <c r="I5" s="890" t="str">
        <f>IF(Indice_index!$Z$1=1,"€ Milhões","€ Millions")</f>
        <v>€ Milhões</v>
      </c>
      <c r="J5" s="470"/>
      <c r="K5" s="470"/>
      <c r="L5" s="470"/>
      <c r="M5" s="470"/>
      <c r="N5" s="470"/>
      <c r="O5" s="470"/>
      <c r="P5" s="470"/>
      <c r="Q5" s="470"/>
      <c r="R5" s="470"/>
      <c r="S5" s="470"/>
    </row>
    <row r="6" spans="2:19" ht="27" customHeight="1">
      <c r="B6" s="467"/>
      <c r="C6" s="891"/>
      <c r="D6" s="830" t="str">
        <f>IF(Indice_index!$Z$1=1,"CGE","Final execution")</f>
        <v>CGE</v>
      </c>
      <c r="E6" s="830" t="str">
        <f>IF(Indice_index!$Z$1=1,"Orçamento Inicial","Budget")</f>
        <v>Orçamento Inicial</v>
      </c>
      <c r="F6" s="1740" t="str">
        <f>IF(Indice_index!$Z$1=1,"Execução Acumulada","Accumulated Execution")</f>
        <v>Execução Acumulada</v>
      </c>
      <c r="G6" s="1740"/>
      <c r="H6" s="1741" t="str">
        <f>IF(Indice_index!$Z$1=1,"Variação Homóloga Acumulada","YOY Change Rate")</f>
        <v>Variação Homóloga Acumulada</v>
      </c>
      <c r="I6" s="1742"/>
      <c r="J6" s="661"/>
      <c r="K6" s="84"/>
      <c r="L6" s="467"/>
      <c r="M6" s="473"/>
      <c r="N6" s="473"/>
      <c r="O6" s="84"/>
      <c r="P6" s="85"/>
      <c r="Q6" s="467"/>
      <c r="R6" s="467"/>
      <c r="S6" s="467"/>
    </row>
    <row r="7" spans="2:19" ht="33" customHeight="1">
      <c r="B7" s="467"/>
      <c r="C7" s="892"/>
      <c r="D7" s="832" t="s">
        <v>67</v>
      </c>
      <c r="E7" s="832" t="s">
        <v>73</v>
      </c>
      <c r="F7" s="833" t="s">
        <v>67</v>
      </c>
      <c r="G7" s="833" t="s">
        <v>73</v>
      </c>
      <c r="H7" s="834" t="str">
        <f>IF(Indice_index!$Z$1=1,"Relativa (%)","Relative change (%)")</f>
        <v>Relativa (%)</v>
      </c>
      <c r="I7" s="835" t="str">
        <f>IF(Indice_index!$Z$1=1,"Contributo VHA (p.p.)","YOY Change Rate Contrib. (p.p.)")</f>
        <v>Contributo VHA (p.p.)</v>
      </c>
      <c r="J7" s="474"/>
      <c r="K7" s="472"/>
      <c r="L7" s="467"/>
      <c r="M7" s="467"/>
      <c r="N7" s="467"/>
      <c r="O7" s="467"/>
      <c r="P7" s="467"/>
      <c r="Q7" s="467"/>
      <c r="R7" s="467"/>
      <c r="S7" s="467"/>
    </row>
    <row r="8" spans="2:19" s="471" customFormat="1" ht="15" customHeight="1">
      <c r="B8" s="470"/>
      <c r="C8" s="893" t="str">
        <f>IF(Indice_index!$Z$1=1,"Receita corrente","Current revenue")</f>
        <v>Receita corrente</v>
      </c>
      <c r="D8" s="875">
        <f t="shared" ref="D8:E8" si="0">+D9+D12+D13+D14+D19</f>
        <v>33565.626426610004</v>
      </c>
      <c r="E8" s="875">
        <f t="shared" si="0"/>
        <v>33601.192499999997</v>
      </c>
      <c r="F8" s="875">
        <f t="shared" ref="F8:G8" si="1">+F9+F12+F13+F14+F19</f>
        <v>33565.626426610004</v>
      </c>
      <c r="G8" s="875">
        <f t="shared" si="1"/>
        <v>35521.604390500012</v>
      </c>
      <c r="H8" s="875">
        <f>IF(IFERROR((G8-F8)/F8*100,"")&gt;500,"-",IFERROR((G8-F8)/F8*100,""))</f>
        <v>5.8273244748364235</v>
      </c>
      <c r="I8" s="875">
        <f t="shared" ref="I8:I22" si="2">IFERROR((G8-F8)/$F$29*100,"-")</f>
        <v>5.8271655474671391</v>
      </c>
      <c r="J8" s="475"/>
      <c r="K8" s="475"/>
      <c r="L8" s="475"/>
      <c r="M8" s="476"/>
      <c r="N8" s="477"/>
      <c r="O8" s="477"/>
      <c r="P8" s="476"/>
      <c r="Q8" s="470"/>
      <c r="R8" s="470"/>
      <c r="S8" s="470"/>
    </row>
    <row r="9" spans="2:19" ht="15" customHeight="1">
      <c r="B9" s="467"/>
      <c r="C9" s="894" t="str">
        <f>IF(Indice_index!$Z$1=1,"Receitas fiscais","Tax revenue")</f>
        <v>Receitas fiscais</v>
      </c>
      <c r="D9" s="873">
        <f t="shared" ref="D9:E9" si="3">+D10+D11</f>
        <v>212.25092951000005</v>
      </c>
      <c r="E9" s="873">
        <f t="shared" si="3"/>
        <v>239.990139</v>
      </c>
      <c r="F9" s="873">
        <f t="shared" ref="F9:G9" si="4">+F10+F11</f>
        <v>212.25092951000005</v>
      </c>
      <c r="G9" s="873">
        <f t="shared" si="4"/>
        <v>230.20090418000001</v>
      </c>
      <c r="H9" s="895">
        <f t="shared" ref="H9:H27" si="5">IF(IFERROR((G9-F9)/F9*100,"")&gt;500,"-",IFERROR((G9-F9)/F9*100,""))</f>
        <v>8.4569592752498455</v>
      </c>
      <c r="I9" s="895">
        <f t="shared" si="2"/>
        <v>5.3475793646933723E-2</v>
      </c>
      <c r="J9" s="478"/>
      <c r="K9" s="478"/>
      <c r="L9" s="478"/>
      <c r="M9" s="479"/>
      <c r="N9" s="477"/>
      <c r="O9" s="477"/>
      <c r="P9" s="479"/>
      <c r="Q9" s="467"/>
      <c r="R9" s="467"/>
      <c r="S9" s="467"/>
    </row>
    <row r="10" spans="2:19" ht="15" hidden="1" customHeight="1">
      <c r="B10" s="467"/>
      <c r="C10" s="896" t="str">
        <f>IF(Indice_index!$Z$1=1,"Impostos diretos","Direct taxes")</f>
        <v>Impostos diretos</v>
      </c>
      <c r="D10" s="873">
        <v>0</v>
      </c>
      <c r="E10" s="873">
        <v>0</v>
      </c>
      <c r="F10" s="873">
        <v>0</v>
      </c>
      <c r="G10" s="873">
        <v>0</v>
      </c>
      <c r="H10" s="877" t="str">
        <f t="shared" si="5"/>
        <v>-</v>
      </c>
      <c r="I10" s="877">
        <f t="shared" si="2"/>
        <v>0</v>
      </c>
      <c r="J10" s="478"/>
      <c r="K10" s="478"/>
      <c r="L10" s="478"/>
      <c r="M10" s="467"/>
      <c r="N10" s="477"/>
      <c r="O10" s="477"/>
      <c r="P10" s="467"/>
      <c r="Q10" s="467"/>
      <c r="R10" s="467"/>
      <c r="S10" s="467"/>
    </row>
    <row r="11" spans="2:19" ht="15" customHeight="1">
      <c r="B11" s="467"/>
      <c r="C11" s="896" t="str">
        <f>IF(Indice_index!$Z$1=1,"Impostos indiretos","Indirect taxes")</f>
        <v>Impostos indiretos</v>
      </c>
      <c r="D11" s="873">
        <v>212.25092951000005</v>
      </c>
      <c r="E11" s="873">
        <v>239.990139</v>
      </c>
      <c r="F11" s="873">
        <v>212.25092951000005</v>
      </c>
      <c r="G11" s="873">
        <v>230.20090418000001</v>
      </c>
      <c r="H11" s="877">
        <f t="shared" si="5"/>
        <v>8.4569592752498455</v>
      </c>
      <c r="I11" s="877">
        <f t="shared" si="2"/>
        <v>5.3475793646933723E-2</v>
      </c>
      <c r="J11" s="478"/>
      <c r="K11" s="478"/>
      <c r="L11" s="478"/>
      <c r="M11" s="467"/>
      <c r="N11" s="477"/>
      <c r="O11" s="477"/>
      <c r="P11" s="467"/>
      <c r="Q11" s="467"/>
      <c r="R11" s="467"/>
      <c r="S11" s="467"/>
    </row>
    <row r="12" spans="2:19" ht="15" customHeight="1">
      <c r="B12" s="467"/>
      <c r="C12" s="894" t="str">
        <f>IF(Indice_index!$Z$1=1,"Contribuições para Segurança Social, CGA e ADSE","Contributions to the Social Security, Public Servants Social and ADSE")</f>
        <v>Contribuições para Segurança Social, CGA e ADSE</v>
      </c>
      <c r="D12" s="873">
        <v>19953.700139089997</v>
      </c>
      <c r="E12" s="873">
        <v>21165.819378</v>
      </c>
      <c r="F12" s="873">
        <v>19953.700139089997</v>
      </c>
      <c r="G12" s="873">
        <v>22310.6205009</v>
      </c>
      <c r="H12" s="877">
        <f t="shared" si="5"/>
        <v>11.811946382779976</v>
      </c>
      <c r="I12" s="877">
        <f t="shared" si="2"/>
        <v>7.0216359202477028</v>
      </c>
      <c r="J12" s="478"/>
      <c r="K12" s="615"/>
      <c r="L12" s="478"/>
      <c r="M12" s="467"/>
      <c r="N12" s="477"/>
      <c r="O12" s="477"/>
      <c r="P12" s="467"/>
      <c r="Q12" s="467"/>
      <c r="R12" s="467"/>
      <c r="S12" s="467"/>
    </row>
    <row r="13" spans="2:19" ht="15" customHeight="1">
      <c r="B13" s="467"/>
      <c r="C13" s="894" t="str">
        <f>IF(Indice_index!$Z$1=1,"Taxas, Multas e Outras Penalidades","Taxes, fines and other penalties")</f>
        <v>Taxas, Multas e Outras Penalidades</v>
      </c>
      <c r="D13" s="873">
        <v>76.977224400000026</v>
      </c>
      <c r="E13" s="873">
        <v>88.190309999999997</v>
      </c>
      <c r="F13" s="873">
        <v>76.977224400000026</v>
      </c>
      <c r="G13" s="873">
        <v>90.540961440000004</v>
      </c>
      <c r="H13" s="877">
        <f t="shared" si="5"/>
        <v>17.620454810786832</v>
      </c>
      <c r="I13" s="877">
        <f t="shared" si="2"/>
        <v>4.0408502873520324E-2</v>
      </c>
      <c r="J13" s="478"/>
      <c r="K13" s="478"/>
      <c r="L13" s="478"/>
      <c r="M13" s="467"/>
      <c r="N13" s="477"/>
      <c r="O13" s="477"/>
      <c r="P13" s="467"/>
      <c r="Q13" s="467"/>
      <c r="R13" s="467"/>
      <c r="S13" s="467"/>
    </row>
    <row r="14" spans="2:19" ht="15" customHeight="1">
      <c r="B14" s="467"/>
      <c r="C14" s="894" t="str">
        <f>IF(Indice_index!$Z$1=1,"Transferências Correntes","Current transfers")</f>
        <v>Transferências Correntes</v>
      </c>
      <c r="D14" s="874">
        <f t="shared" ref="D14:E14" si="6">SUM(D15:D18)</f>
        <v>12301.049313010004</v>
      </c>
      <c r="E14" s="874">
        <f t="shared" si="6"/>
        <v>11375.892560999999</v>
      </c>
      <c r="F14" s="874">
        <f t="shared" ref="F14:G14" si="7">SUM(F15:F18)</f>
        <v>12301.049313010004</v>
      </c>
      <c r="G14" s="874">
        <f t="shared" si="7"/>
        <v>11995.561174130002</v>
      </c>
      <c r="H14" s="877">
        <f t="shared" si="5"/>
        <v>-2.4834315439814363</v>
      </c>
      <c r="I14" s="877">
        <f t="shared" si="2"/>
        <v>-0.91009714368209005</v>
      </c>
      <c r="J14" s="478"/>
      <c r="K14" s="478"/>
      <c r="L14" s="478"/>
      <c r="M14" s="467"/>
      <c r="N14" s="477"/>
      <c r="O14" s="477"/>
      <c r="P14" s="467"/>
      <c r="Q14" s="467"/>
      <c r="R14" s="467"/>
      <c r="S14" s="467"/>
    </row>
    <row r="15" spans="2:19" ht="15" customHeight="1">
      <c r="B15" s="467"/>
      <c r="C15" s="897" t="str">
        <f>IF(Indice_index!$Z$1=1,"Administração Central","Central Administration")</f>
        <v>Administração Central</v>
      </c>
      <c r="D15" s="873">
        <v>10871.419801170003</v>
      </c>
      <c r="E15" s="873">
        <v>9566.7203549999995</v>
      </c>
      <c r="F15" s="873">
        <v>10871.419801170003</v>
      </c>
      <c r="G15" s="873">
        <v>10900.474138330001</v>
      </c>
      <c r="H15" s="877">
        <f t="shared" si="5"/>
        <v>0.2672543024865161</v>
      </c>
      <c r="I15" s="877">
        <f t="shared" si="2"/>
        <v>8.6557433482801052E-2</v>
      </c>
      <c r="J15" s="478"/>
      <c r="K15" s="478"/>
      <c r="L15" s="478"/>
      <c r="M15" s="467"/>
      <c r="N15" s="477"/>
      <c r="O15" s="477"/>
      <c r="P15" s="467"/>
      <c r="Q15" s="467"/>
      <c r="R15" s="467"/>
      <c r="S15" s="467"/>
    </row>
    <row r="16" spans="2:19" ht="15" hidden="1" customHeight="1">
      <c r="B16" s="467"/>
      <c r="C16" s="896" t="str">
        <f>IF(Indice_index!$Z$1=1,"Outros subsectores das AP","Other General Government subsectors")</f>
        <v>Outros subsectores das AP</v>
      </c>
      <c r="D16" s="873">
        <v>0</v>
      </c>
      <c r="E16" s="873">
        <v>0</v>
      </c>
      <c r="F16" s="873">
        <v>0</v>
      </c>
      <c r="G16" s="873">
        <v>0</v>
      </c>
      <c r="H16" s="877" t="str">
        <f t="shared" si="5"/>
        <v>-</v>
      </c>
      <c r="I16" s="877">
        <f t="shared" si="2"/>
        <v>0</v>
      </c>
      <c r="J16" s="478"/>
      <c r="K16" s="478"/>
      <c r="L16" s="478"/>
      <c r="M16" s="467"/>
      <c r="N16" s="477"/>
      <c r="O16" s="477"/>
      <c r="P16" s="467"/>
      <c r="Q16" s="467"/>
      <c r="R16" s="467"/>
      <c r="S16" s="467"/>
    </row>
    <row r="17" spans="2:28" ht="15" customHeight="1">
      <c r="B17" s="467"/>
      <c r="C17" s="896" t="str">
        <f>IF(Indice_index!$Z$1=1,"União Europeia","European Union")</f>
        <v>União Europeia</v>
      </c>
      <c r="D17" s="873">
        <v>1427.2160138600002</v>
      </c>
      <c r="E17" s="873">
        <v>1807.172206</v>
      </c>
      <c r="F17" s="873">
        <v>1427.2160138600002</v>
      </c>
      <c r="G17" s="873">
        <v>1092.6769813200001</v>
      </c>
      <c r="H17" s="877">
        <f t="shared" si="5"/>
        <v>-23.439971895720056</v>
      </c>
      <c r="I17" s="877">
        <f t="shared" si="2"/>
        <v>-0.9966443184375775</v>
      </c>
      <c r="J17" s="478"/>
      <c r="K17" s="478"/>
      <c r="L17" s="478"/>
      <c r="M17" s="467"/>
      <c r="N17" s="477"/>
      <c r="O17" s="477"/>
      <c r="P17" s="467"/>
      <c r="Q17" s="467"/>
      <c r="R17" s="467"/>
      <c r="S17" s="467"/>
      <c r="T17" s="467"/>
      <c r="U17" s="467"/>
      <c r="V17" s="467"/>
      <c r="W17" s="467"/>
      <c r="X17" s="467"/>
      <c r="Y17" s="467"/>
      <c r="Z17" s="467"/>
      <c r="AA17" s="467"/>
      <c r="AB17" s="467"/>
    </row>
    <row r="18" spans="2:28" ht="15" customHeight="1">
      <c r="B18" s="467"/>
      <c r="C18" s="896" t="str">
        <f>IF(Indice_index!$Z$1=1,"Outras transferências","Other transfers")</f>
        <v>Outras transferências</v>
      </c>
      <c r="D18" s="873">
        <v>2.4134979799999998</v>
      </c>
      <c r="E18" s="873">
        <v>2</v>
      </c>
      <c r="F18" s="873">
        <v>2.4134979799999998</v>
      </c>
      <c r="G18" s="873">
        <v>2.4100544800000003</v>
      </c>
      <c r="H18" s="877">
        <f t="shared" si="5"/>
        <v>-0.14267673014582299</v>
      </c>
      <c r="I18" s="877">
        <f t="shared" si="2"/>
        <v>-1.0258727313468087E-5</v>
      </c>
      <c r="J18" s="478"/>
      <c r="K18" s="478"/>
      <c r="L18" s="478"/>
      <c r="M18" s="467"/>
      <c r="N18" s="477"/>
      <c r="O18" s="477"/>
      <c r="P18" s="467"/>
      <c r="Q18" s="467"/>
      <c r="R18" s="467"/>
      <c r="S18" s="467"/>
      <c r="T18" s="467"/>
      <c r="U18" s="467"/>
      <c r="V18" s="467"/>
      <c r="W18" s="467"/>
      <c r="X18" s="467"/>
      <c r="Y18" s="467"/>
      <c r="Z18" s="467"/>
      <c r="AA18" s="467"/>
      <c r="AB18" s="467"/>
    </row>
    <row r="19" spans="2:28" ht="15" customHeight="1">
      <c r="B19" s="480"/>
      <c r="C19" s="894" t="str">
        <f>IF(Indice_index!$Z$1=1,"Outras receitas correntes","Other current revenue")</f>
        <v>Outras receitas correntes</v>
      </c>
      <c r="D19" s="873">
        <v>1021.6488205999999</v>
      </c>
      <c r="E19" s="873">
        <v>731.30011200000001</v>
      </c>
      <c r="F19" s="873">
        <v>1021.6488205999999</v>
      </c>
      <c r="G19" s="873">
        <v>894.68084985000019</v>
      </c>
      <c r="H19" s="877">
        <f t="shared" si="5"/>
        <v>-12.427750924768183</v>
      </c>
      <c r="I19" s="877">
        <f t="shared" si="2"/>
        <v>-0.37825752561894377</v>
      </c>
      <c r="J19" s="478"/>
      <c r="K19" s="478"/>
      <c r="L19" s="478"/>
      <c r="M19" s="467"/>
      <c r="N19" s="477"/>
      <c r="O19" s="477"/>
      <c r="P19" s="467"/>
      <c r="Q19" s="467"/>
      <c r="R19" s="467"/>
      <c r="S19" s="467"/>
      <c r="T19" s="467"/>
      <c r="U19" s="467"/>
      <c r="V19" s="467"/>
      <c r="W19" s="467"/>
      <c r="X19" s="467"/>
      <c r="Y19" s="467"/>
      <c r="Z19" s="467"/>
      <c r="AA19" s="467"/>
      <c r="AB19" s="467"/>
    </row>
    <row r="20" spans="2:28" s="471" customFormat="1" ht="15" customHeight="1">
      <c r="B20" s="481"/>
      <c r="C20" s="893" t="str">
        <f>IF(Indice_index!$Z$1=1,"Receita de capital","Capital revenue")</f>
        <v>Receita de capital</v>
      </c>
      <c r="D20" s="875">
        <f>+D21+D22+D27</f>
        <v>0.91545309000000008</v>
      </c>
      <c r="E20" s="875">
        <f>+E21+E22+E27</f>
        <v>7.6267070000000006</v>
      </c>
      <c r="F20" s="875">
        <f>+F21+F22+F27</f>
        <v>0.91545309000000008</v>
      </c>
      <c r="G20" s="875">
        <f>+G21+G22+G27</f>
        <v>1.1830310500000001</v>
      </c>
      <c r="H20" s="875">
        <f t="shared" si="5"/>
        <v>29.229019260833994</v>
      </c>
      <c r="I20" s="875">
        <f t="shared" si="2"/>
        <v>7.9715676687512106E-4</v>
      </c>
      <c r="J20" s="475"/>
      <c r="K20" s="475"/>
      <c r="L20" s="475"/>
      <c r="M20" s="470"/>
      <c r="N20" s="477"/>
      <c r="O20" s="477"/>
      <c r="P20" s="470"/>
      <c r="Q20" s="470"/>
      <c r="R20" s="470"/>
      <c r="S20" s="470"/>
      <c r="T20" s="470"/>
      <c r="U20" s="470"/>
      <c r="V20" s="470"/>
      <c r="W20" s="470"/>
      <c r="X20" s="470"/>
      <c r="Y20" s="470"/>
      <c r="Z20" s="470"/>
      <c r="AA20" s="470"/>
      <c r="AB20" s="470"/>
    </row>
    <row r="21" spans="2:28" ht="15" customHeight="1">
      <c r="B21" s="480"/>
      <c r="C21" s="894" t="str">
        <f>IF(Indice_index!$Z$1=1,"Venda de bens de investimento","Sale of investment goods")</f>
        <v>Venda de bens de investimento</v>
      </c>
      <c r="D21" s="873">
        <v>0.61795309000000009</v>
      </c>
      <c r="E21" s="873">
        <v>5.3141949999999998</v>
      </c>
      <c r="F21" s="873">
        <v>0.61795309000000009</v>
      </c>
      <c r="G21" s="873">
        <v>0.82603287000000003</v>
      </c>
      <c r="H21" s="877">
        <f t="shared" si="5"/>
        <v>33.672423257888376</v>
      </c>
      <c r="I21" s="877">
        <f t="shared" si="2"/>
        <v>6.1990234426215977E-4</v>
      </c>
      <c r="J21" s="478"/>
      <c r="K21" s="478"/>
      <c r="L21" s="478"/>
      <c r="M21" s="467"/>
      <c r="N21" s="477"/>
      <c r="O21" s="477"/>
      <c r="P21" s="467"/>
      <c r="Q21" s="467"/>
      <c r="R21" s="467"/>
      <c r="S21" s="467"/>
      <c r="T21" s="467"/>
      <c r="U21" s="467"/>
      <c r="V21" s="467"/>
      <c r="W21" s="467"/>
      <c r="X21" s="467"/>
      <c r="Y21" s="467"/>
      <c r="Z21" s="467"/>
      <c r="AA21" s="467"/>
      <c r="AB21" s="467"/>
    </row>
    <row r="22" spans="2:28" ht="15" customHeight="1">
      <c r="B22" s="482"/>
      <c r="C22" s="894" t="str">
        <f>IF(Indice_index!$Z$1=1,"Transferências de capital","Capital transfers")</f>
        <v>Transferências de capital</v>
      </c>
      <c r="D22" s="874">
        <f>+SUM(D23:D26)</f>
        <v>0.29749999999999999</v>
      </c>
      <c r="E22" s="874">
        <f>+SUM(E23:E26)</f>
        <v>1.8776079999999999</v>
      </c>
      <c r="F22" s="874">
        <f>+SUM(F23:F26)</f>
        <v>0.29749999999999999</v>
      </c>
      <c r="G22" s="874">
        <f>+SUM(G23:G26)</f>
        <v>0.35</v>
      </c>
      <c r="H22" s="877">
        <f t="shared" si="5"/>
        <v>17.647058823529409</v>
      </c>
      <c r="I22" s="877">
        <f t="shared" si="2"/>
        <v>1.5640574530482199E-4</v>
      </c>
      <c r="J22" s="478"/>
      <c r="K22" s="478"/>
      <c r="L22" s="478"/>
      <c r="M22" s="467"/>
      <c r="N22" s="477"/>
      <c r="O22" s="477"/>
      <c r="P22" s="467"/>
      <c r="Q22" s="467"/>
      <c r="R22" s="467"/>
      <c r="S22" s="467"/>
      <c r="T22" s="467"/>
      <c r="U22" s="467"/>
      <c r="V22" s="467"/>
      <c r="W22" s="467"/>
      <c r="X22" s="467"/>
      <c r="Y22" s="467"/>
      <c r="Z22" s="467"/>
      <c r="AA22" s="467"/>
      <c r="AB22" s="467"/>
    </row>
    <row r="23" spans="2:28" ht="15" customHeight="1">
      <c r="B23" s="482"/>
      <c r="C23" s="897" t="str">
        <f>IF(Indice_index!$Z$1=1,"Administração Central","Central Administration")</f>
        <v>Administração Central</v>
      </c>
      <c r="D23" s="873">
        <v>0.29749999999999999</v>
      </c>
      <c r="E23" s="873">
        <v>1.8776079999999999</v>
      </c>
      <c r="F23" s="873">
        <v>0.29749999999999999</v>
      </c>
      <c r="G23" s="873">
        <v>0.35</v>
      </c>
      <c r="H23" s="877">
        <f t="shared" si="5"/>
        <v>17.647058823529409</v>
      </c>
      <c r="I23" s="877">
        <f t="shared" ref="I23" si="8">IFERROR((G23-F23)/$F$29*100,"-")</f>
        <v>1.5640574530482199E-4</v>
      </c>
      <c r="J23" s="478"/>
      <c r="K23" s="478"/>
      <c r="L23" s="478"/>
      <c r="M23" s="467"/>
      <c r="N23" s="477"/>
      <c r="O23" s="477"/>
      <c r="P23" s="467"/>
      <c r="Q23" s="467"/>
      <c r="R23" s="467"/>
      <c r="S23" s="467"/>
      <c r="T23" s="467"/>
      <c r="U23" s="467"/>
      <c r="V23" s="467"/>
      <c r="W23" s="467"/>
      <c r="X23" s="467"/>
      <c r="Y23" s="467"/>
      <c r="Z23" s="467"/>
      <c r="AA23" s="467"/>
      <c r="AB23" s="467"/>
    </row>
    <row r="24" spans="2:28" ht="15" customHeight="1">
      <c r="B24" s="482"/>
      <c r="C24" s="896" t="str">
        <f>IF(Indice_index!$Z$1=1,"Outros subsectores das AP","Other General Government subsectors")</f>
        <v>Outros subsectores das AP</v>
      </c>
      <c r="D24" s="873">
        <v>0</v>
      </c>
      <c r="E24" s="873">
        <v>0</v>
      </c>
      <c r="F24" s="873">
        <v>0</v>
      </c>
      <c r="G24" s="873">
        <v>0</v>
      </c>
      <c r="H24" s="877" t="str">
        <f t="shared" si="5"/>
        <v>-</v>
      </c>
      <c r="I24" s="877">
        <f>IFERROR((G24-F24)/$F$29*100,"-")</f>
        <v>0</v>
      </c>
      <c r="J24" s="478"/>
      <c r="K24" s="478"/>
      <c r="L24" s="478"/>
      <c r="M24" s="467"/>
      <c r="N24" s="477"/>
      <c r="O24" s="477"/>
      <c r="P24" s="467"/>
      <c r="Q24" s="467"/>
      <c r="R24" s="467"/>
      <c r="S24" s="467"/>
      <c r="T24" s="467"/>
      <c r="U24" s="467"/>
      <c r="V24" s="467"/>
      <c r="W24" s="467"/>
      <c r="X24" s="467"/>
      <c r="Y24" s="467"/>
      <c r="Z24" s="467"/>
      <c r="AA24" s="467"/>
      <c r="AB24" s="467"/>
    </row>
    <row r="25" spans="2:28" ht="15" customHeight="1">
      <c r="B25" s="467"/>
      <c r="C25" s="896" t="str">
        <f>IF(Indice_index!$Z$1=1,"União Europeia","European Union")</f>
        <v>União Europeia</v>
      </c>
      <c r="D25" s="873">
        <v>0</v>
      </c>
      <c r="E25" s="873">
        <v>0</v>
      </c>
      <c r="F25" s="873">
        <v>0</v>
      </c>
      <c r="G25" s="873">
        <v>0</v>
      </c>
      <c r="H25" s="877" t="str">
        <f t="shared" si="5"/>
        <v>-</v>
      </c>
      <c r="I25" s="877">
        <f>IFERROR((G25-F25)/$F$29*100,"-")</f>
        <v>0</v>
      </c>
      <c r="J25" s="478"/>
      <c r="K25" s="478"/>
      <c r="L25" s="478"/>
      <c r="M25" s="467"/>
      <c r="N25" s="477"/>
      <c r="O25" s="477"/>
      <c r="P25" s="467"/>
      <c r="Q25" s="467"/>
      <c r="R25" s="467"/>
      <c r="S25" s="467"/>
      <c r="T25" s="467"/>
      <c r="U25" s="467"/>
      <c r="V25" s="467"/>
      <c r="W25" s="467"/>
      <c r="X25" s="467"/>
      <c r="Y25" s="467"/>
      <c r="Z25" s="467"/>
      <c r="AA25" s="467"/>
      <c r="AB25" s="467"/>
    </row>
    <row r="26" spans="2:28" ht="15" customHeight="1">
      <c r="B26" s="467"/>
      <c r="C26" s="896" t="str">
        <f>IF(Indice_index!$Z$1=1,"Outras transferências","Other transfers")</f>
        <v>Outras transferências</v>
      </c>
      <c r="D26" s="873">
        <v>0</v>
      </c>
      <c r="E26" s="873">
        <v>0</v>
      </c>
      <c r="F26" s="873">
        <v>0</v>
      </c>
      <c r="G26" s="873">
        <v>0</v>
      </c>
      <c r="H26" s="877" t="str">
        <f t="shared" si="5"/>
        <v>-</v>
      </c>
      <c r="I26" s="877">
        <f>IFERROR((G26-F26)/$F$29*100,"-")</f>
        <v>0</v>
      </c>
      <c r="J26" s="478"/>
      <c r="K26" s="478"/>
      <c r="L26" s="478"/>
      <c r="M26" s="467"/>
      <c r="N26" s="477"/>
      <c r="O26" s="477"/>
      <c r="P26" s="467"/>
      <c r="Q26" s="467"/>
      <c r="R26" s="467"/>
      <c r="S26" s="467"/>
      <c r="T26" s="467"/>
      <c r="U26" s="467"/>
      <c r="V26" s="467"/>
      <c r="W26" s="467"/>
      <c r="X26" s="467"/>
      <c r="Y26" s="467"/>
      <c r="Z26" s="467"/>
      <c r="AA26" s="467"/>
      <c r="AB26" s="467"/>
    </row>
    <row r="27" spans="2:28" ht="15" customHeight="1">
      <c r="B27" s="467"/>
      <c r="C27" s="894" t="str">
        <f>IF(Indice_index!$Z$1=1,"Outras Receitas de Capital","Other capital revenue")</f>
        <v>Outras Receitas de Capital</v>
      </c>
      <c r="D27" s="873">
        <v>0</v>
      </c>
      <c r="E27" s="873">
        <v>0.43490400000000001</v>
      </c>
      <c r="F27" s="873">
        <v>0</v>
      </c>
      <c r="G27" s="873">
        <v>6.9981800000000005E-3</v>
      </c>
      <c r="H27" s="877" t="str">
        <f t="shared" si="5"/>
        <v>-</v>
      </c>
      <c r="I27" s="877">
        <f>IFERROR((G27-F27)/$F$29*100,"-")</f>
        <v>2.0848677308139036E-5</v>
      </c>
      <c r="J27" s="478"/>
      <c r="K27" s="478"/>
      <c r="L27" s="478"/>
      <c r="M27" s="467"/>
      <c r="N27" s="477"/>
      <c r="O27" s="477"/>
      <c r="P27" s="467"/>
      <c r="Q27" s="467"/>
      <c r="R27" s="467"/>
      <c r="S27" s="467"/>
      <c r="T27" s="467"/>
      <c r="U27" s="467"/>
      <c r="V27" s="467"/>
      <c r="W27" s="467"/>
      <c r="X27" s="467"/>
      <c r="Y27" s="467"/>
      <c r="Z27" s="467"/>
      <c r="AA27" s="467"/>
      <c r="AB27" s="467"/>
    </row>
    <row r="28" spans="2:28" ht="4.5" customHeight="1">
      <c r="B28" s="467"/>
      <c r="C28" s="896"/>
      <c r="D28" s="877"/>
      <c r="E28" s="877"/>
      <c r="F28" s="877"/>
      <c r="G28" s="877"/>
      <c r="H28" s="877"/>
      <c r="I28" s="877"/>
      <c r="J28" s="478"/>
      <c r="K28" s="478"/>
      <c r="L28" s="478"/>
      <c r="M28" s="467"/>
      <c r="N28" s="477"/>
      <c r="O28" s="477"/>
      <c r="P28" s="467"/>
      <c r="Q28" s="467"/>
      <c r="R28" s="467"/>
      <c r="S28" s="467"/>
      <c r="T28" s="467"/>
      <c r="U28" s="467"/>
      <c r="V28" s="467"/>
      <c r="W28" s="467"/>
      <c r="X28" s="467"/>
      <c r="Y28" s="467"/>
      <c r="Z28" s="467"/>
      <c r="AA28" s="467"/>
      <c r="AB28" s="467"/>
    </row>
    <row r="29" spans="2:28" s="471" customFormat="1" ht="15" customHeight="1">
      <c r="B29" s="470"/>
      <c r="C29" s="898" t="str">
        <f>IF(Indice_index!$Z$1=1,"Receita efetiva","Effective revenue")</f>
        <v>Receita efetiva</v>
      </c>
      <c r="D29" s="876">
        <f>+D8+D20</f>
        <v>33566.541879700002</v>
      </c>
      <c r="E29" s="876">
        <f>+E8+E20</f>
        <v>33608.819207</v>
      </c>
      <c r="F29" s="876">
        <f>+F8+F20</f>
        <v>33566.541879700002</v>
      </c>
      <c r="G29" s="876">
        <f>+G8+G20</f>
        <v>35522.787421550012</v>
      </c>
      <c r="H29" s="876">
        <f t="shared" ref="H29" si="9">IF(IFERROR((G29-F29)/F29*100,"")&gt;500,"-",IFERROR((G29-F29)/F29*100,""))</f>
        <v>5.8279627042340234</v>
      </c>
      <c r="I29" s="876"/>
      <c r="J29" s="475"/>
      <c r="K29" s="475"/>
      <c r="L29" s="475"/>
      <c r="M29" s="470"/>
      <c r="N29" s="477"/>
      <c r="O29" s="477"/>
      <c r="P29" s="470"/>
      <c r="Q29" s="470"/>
      <c r="R29" s="470"/>
      <c r="S29" s="470"/>
      <c r="T29" s="470"/>
      <c r="U29" s="470"/>
      <c r="V29" s="470"/>
      <c r="W29" s="470"/>
      <c r="X29" s="470"/>
      <c r="Y29" s="470"/>
      <c r="Z29" s="470"/>
      <c r="AA29" s="470"/>
      <c r="AB29" s="470"/>
    </row>
    <row r="30" spans="2:28" ht="4.5" customHeight="1">
      <c r="B30" s="467"/>
      <c r="C30" s="896"/>
      <c r="D30" s="877"/>
      <c r="E30" s="877"/>
      <c r="F30" s="877"/>
      <c r="G30" s="877"/>
      <c r="H30" s="877"/>
      <c r="I30" s="877"/>
      <c r="J30" s="478"/>
      <c r="K30" s="478"/>
      <c r="L30" s="478"/>
      <c r="M30" s="467"/>
      <c r="N30" s="477"/>
      <c r="O30" s="477"/>
      <c r="P30" s="467"/>
      <c r="Q30" s="467"/>
      <c r="R30" s="467"/>
      <c r="S30" s="467"/>
      <c r="T30" s="467"/>
      <c r="U30" s="467"/>
      <c r="V30" s="467"/>
      <c r="W30" s="467"/>
      <c r="X30" s="467"/>
      <c r="Y30" s="467"/>
      <c r="Z30" s="467"/>
      <c r="AA30" s="467"/>
      <c r="AB30" s="467"/>
    </row>
    <row r="31" spans="2:28" s="471" customFormat="1" ht="15" customHeight="1">
      <c r="B31" s="470"/>
      <c r="C31" s="893" t="str">
        <f>IF(Indice_index!$Z$1=1,"Despesa corrente","Current Expenditure")</f>
        <v>Despesa corrente</v>
      </c>
      <c r="D31" s="875">
        <f t="shared" ref="D31:E31" si="10">+D32+D36+D37+D38+D43+D44</f>
        <v>31195.450149439996</v>
      </c>
      <c r="E31" s="875">
        <f t="shared" si="10"/>
        <v>30910.787177000002</v>
      </c>
      <c r="F31" s="875">
        <f t="shared" ref="F31:G31" si="11">+F32+F36+F37+F38+F43+F44</f>
        <v>31195.450149439996</v>
      </c>
      <c r="G31" s="875">
        <f t="shared" si="11"/>
        <v>31405.065438770005</v>
      </c>
      <c r="H31" s="875">
        <f t="shared" ref="H31:H52" si="12">IF(IFERROR((G31-F31)/F31*100,"")&gt;500,"-",IFERROR((G31-F31)/F31*100,""))</f>
        <v>0.67194186436117975</v>
      </c>
      <c r="I31" s="875">
        <f>IFERROR((G31-F31)/$F$54*100,"-")</f>
        <v>0.67102065317429971</v>
      </c>
      <c r="J31" s="475"/>
      <c r="K31" s="475"/>
      <c r="L31" s="475"/>
      <c r="M31" s="470"/>
      <c r="N31" s="477"/>
      <c r="O31" s="477"/>
      <c r="P31" s="470"/>
      <c r="Q31" s="470"/>
      <c r="R31" s="470"/>
      <c r="S31" s="470"/>
      <c r="T31" s="470"/>
      <c r="U31" s="470"/>
      <c r="V31" s="470"/>
      <c r="W31" s="470"/>
      <c r="X31" s="470"/>
      <c r="Y31" s="470"/>
      <c r="Z31" s="470"/>
      <c r="AA31" s="470"/>
      <c r="AB31" s="470"/>
    </row>
    <row r="32" spans="2:28" ht="15" customHeight="1">
      <c r="B32" s="467"/>
      <c r="C32" s="894" t="str">
        <f>IF(Indice_index!$Z$1=1,"Despesas com o pessoal","Employees")</f>
        <v>Despesas com o pessoal</v>
      </c>
      <c r="D32" s="877">
        <f t="shared" ref="D32:E32" si="13">+D33+D34+D35</f>
        <v>292.95986727999991</v>
      </c>
      <c r="E32" s="877">
        <f t="shared" si="13"/>
        <v>324.63119100000006</v>
      </c>
      <c r="F32" s="877">
        <f t="shared" ref="F32:G32" si="14">+F33+F34+F35</f>
        <v>292.95986727999991</v>
      </c>
      <c r="G32" s="877">
        <f t="shared" si="14"/>
        <v>302.81280670999996</v>
      </c>
      <c r="H32" s="877">
        <f t="shared" si="12"/>
        <v>3.3632386311067597</v>
      </c>
      <c r="I32" s="877">
        <f t="shared" ref="I32:I52" si="15">IFERROR((G32-F32)/$F$54*100,"-")</f>
        <v>3.1541238585876895E-2</v>
      </c>
      <c r="J32" s="478"/>
      <c r="K32" s="478"/>
      <c r="L32" s="478"/>
      <c r="M32" s="467"/>
      <c r="N32" s="477"/>
      <c r="O32" s="477"/>
      <c r="P32" s="467"/>
      <c r="Q32" s="467"/>
      <c r="R32" s="467"/>
      <c r="S32" s="467"/>
      <c r="T32" s="467"/>
      <c r="U32" s="467"/>
      <c r="V32" s="467"/>
      <c r="W32" s="467"/>
      <c r="X32" s="467"/>
      <c r="Y32" s="467"/>
      <c r="Z32" s="467"/>
      <c r="AA32" s="467"/>
      <c r="AB32" s="467"/>
    </row>
    <row r="33" spans="2:28" ht="15" customHeight="1">
      <c r="B33" s="467"/>
      <c r="C33" s="897" t="str">
        <f>IF(Indice_index!$Z$1=1,"Remunerações Certas e Permanentes","Certain and permanent wages")</f>
        <v>Remunerações Certas e Permanentes</v>
      </c>
      <c r="D33" s="873">
        <v>233.69650922999992</v>
      </c>
      <c r="E33" s="873">
        <v>260.99803300000002</v>
      </c>
      <c r="F33" s="873">
        <v>233.69650922999992</v>
      </c>
      <c r="G33" s="873">
        <v>242.35116174999996</v>
      </c>
      <c r="H33" s="877">
        <f t="shared" si="12"/>
        <v>3.703372612845615</v>
      </c>
      <c r="I33" s="877">
        <f t="shared" si="15"/>
        <v>2.77052814493127E-2</v>
      </c>
      <c r="J33" s="478"/>
      <c r="K33" s="478"/>
      <c r="L33" s="478"/>
      <c r="M33" s="467"/>
      <c r="N33" s="477"/>
      <c r="O33" s="477"/>
      <c r="P33" s="467"/>
      <c r="Q33" s="467"/>
      <c r="R33" s="467"/>
      <c r="S33" s="467"/>
      <c r="T33" s="467"/>
      <c r="U33" s="467"/>
      <c r="V33" s="467"/>
      <c r="W33" s="467"/>
      <c r="X33" s="467"/>
      <c r="Y33" s="467"/>
      <c r="Z33" s="467"/>
      <c r="AA33" s="467"/>
      <c r="AB33" s="467"/>
    </row>
    <row r="34" spans="2:28" ht="15" customHeight="1">
      <c r="B34" s="467"/>
      <c r="C34" s="897" t="str">
        <f>IF(Indice_index!$Z$1=1,"Abonos Variáveis ou Eventuais","Variable or contingent bonuses")</f>
        <v>Abonos Variáveis ou Eventuais</v>
      </c>
      <c r="D34" s="873">
        <v>5.1169230200000007</v>
      </c>
      <c r="E34" s="873">
        <v>7.6004949999999996</v>
      </c>
      <c r="F34" s="873">
        <v>5.1169230200000007</v>
      </c>
      <c r="G34" s="873">
        <v>5.2494149799999992</v>
      </c>
      <c r="H34" s="877">
        <f t="shared" si="12"/>
        <v>2.5892896860503973</v>
      </c>
      <c r="I34" s="877">
        <f t="shared" si="15"/>
        <v>4.241333817953238E-4</v>
      </c>
      <c r="J34" s="478"/>
      <c r="K34" s="478"/>
      <c r="L34" s="478"/>
      <c r="M34" s="467"/>
      <c r="N34" s="477"/>
      <c r="O34" s="477"/>
      <c r="P34" s="467"/>
      <c r="Q34" s="467"/>
      <c r="R34" s="467"/>
      <c r="S34" s="467"/>
      <c r="T34" s="467"/>
      <c r="U34" s="467"/>
      <c r="V34" s="467"/>
      <c r="W34" s="467"/>
      <c r="X34" s="467"/>
      <c r="Y34" s="467"/>
      <c r="Z34" s="467"/>
      <c r="AA34" s="467"/>
      <c r="AB34" s="467"/>
    </row>
    <row r="35" spans="2:28" ht="15" customHeight="1">
      <c r="B35" s="467"/>
      <c r="C35" s="897" t="str">
        <f>IF(Indice_index!$Z$1=1,"Segurança social","Social security")</f>
        <v>Segurança social</v>
      </c>
      <c r="D35" s="873">
        <v>54.146435030000006</v>
      </c>
      <c r="E35" s="873">
        <v>56.032662999999999</v>
      </c>
      <c r="F35" s="873">
        <v>54.146435030000006</v>
      </c>
      <c r="G35" s="873">
        <v>55.212229979999989</v>
      </c>
      <c r="H35" s="877">
        <f t="shared" si="12"/>
        <v>1.9683566414104194</v>
      </c>
      <c r="I35" s="877">
        <f t="shared" si="15"/>
        <v>3.4118237547687866E-3</v>
      </c>
      <c r="J35" s="478"/>
      <c r="K35" s="478"/>
      <c r="L35" s="478"/>
      <c r="M35" s="467"/>
      <c r="N35" s="477"/>
      <c r="O35" s="477"/>
      <c r="P35" s="467"/>
      <c r="Q35" s="467"/>
      <c r="R35" s="467"/>
      <c r="S35" s="467"/>
      <c r="T35" s="467"/>
      <c r="U35" s="467"/>
      <c r="V35" s="467"/>
      <c r="W35" s="467"/>
      <c r="X35" s="467"/>
      <c r="Y35" s="467"/>
      <c r="Z35" s="467"/>
      <c r="AA35" s="467"/>
      <c r="AB35" s="467"/>
    </row>
    <row r="36" spans="2:28" ht="15" customHeight="1">
      <c r="B36" s="467"/>
      <c r="C36" s="894" t="str">
        <f>IF(Indice_index!$Z$1=1,"Aquisição de bens e serviços","Purchase of goods and services")</f>
        <v>Aquisição de bens e serviços</v>
      </c>
      <c r="D36" s="873">
        <v>99.981533720000002</v>
      </c>
      <c r="E36" s="873">
        <v>186.896266</v>
      </c>
      <c r="F36" s="873">
        <v>99.981533720000002</v>
      </c>
      <c r="G36" s="873">
        <v>90.534915649999988</v>
      </c>
      <c r="H36" s="877">
        <f t="shared" si="12"/>
        <v>-9.4483628311358281</v>
      </c>
      <c r="I36" s="877">
        <f t="shared" si="15"/>
        <v>-3.024052228194047E-2</v>
      </c>
      <c r="J36" s="478"/>
      <c r="K36" s="478"/>
      <c r="L36" s="478"/>
      <c r="M36" s="467"/>
      <c r="N36" s="477"/>
      <c r="O36" s="477"/>
      <c r="P36" s="467"/>
      <c r="Q36" s="467"/>
      <c r="R36" s="467"/>
      <c r="S36" s="467"/>
      <c r="T36" s="467"/>
      <c r="U36" s="467"/>
      <c r="V36" s="467"/>
      <c r="W36" s="483"/>
      <c r="X36" s="467"/>
      <c r="Y36" s="467"/>
      <c r="Z36" s="483"/>
      <c r="AA36" s="467"/>
      <c r="AB36" s="483"/>
    </row>
    <row r="37" spans="2:28" ht="15" customHeight="1">
      <c r="C37" s="894" t="str">
        <f>IF(Indice_index!$Z$1=1,"Juros e outros encargos","Interests")</f>
        <v>Juros e outros encargos</v>
      </c>
      <c r="D37" s="873">
        <v>6.5070547399999992</v>
      </c>
      <c r="E37" s="873">
        <v>10.362807</v>
      </c>
      <c r="F37" s="873">
        <v>6.5070547399999992</v>
      </c>
      <c r="G37" s="873">
        <v>6.8953015100000012</v>
      </c>
      <c r="H37" s="877">
        <f t="shared" si="12"/>
        <v>5.9665514662629402</v>
      </c>
      <c r="I37" s="877">
        <f t="shared" si="15"/>
        <v>1.2428559101338224E-3</v>
      </c>
      <c r="J37" s="478"/>
      <c r="K37" s="478"/>
      <c r="L37" s="478"/>
      <c r="M37" s="467"/>
      <c r="N37" s="477"/>
      <c r="O37" s="477"/>
      <c r="P37" s="467"/>
      <c r="Q37" s="467"/>
      <c r="R37" s="467"/>
      <c r="S37" s="467"/>
      <c r="T37" s="467"/>
      <c r="U37" s="467"/>
      <c r="V37" s="467"/>
    </row>
    <row r="38" spans="2:28" ht="15" customHeight="1">
      <c r="C38" s="894" t="str">
        <f>IF(Indice_index!$Z$1=1,"Transferências correntes","Current transfers")</f>
        <v>Transferências correntes</v>
      </c>
      <c r="D38" s="874">
        <f t="shared" ref="D38:E38" si="16">+D39+D40+D41+D42</f>
        <v>29805.776706309996</v>
      </c>
      <c r="E38" s="874">
        <f t="shared" si="16"/>
        <v>28761.380738</v>
      </c>
      <c r="F38" s="874">
        <f t="shared" ref="F38:G38" si="17">+F39+F40+F41+F42</f>
        <v>29805.776706309996</v>
      </c>
      <c r="G38" s="874">
        <f t="shared" si="17"/>
        <v>30043.900785950005</v>
      </c>
      <c r="H38" s="877">
        <f t="shared" si="12"/>
        <v>0.79891922289546335</v>
      </c>
      <c r="I38" s="877">
        <f t="shared" si="15"/>
        <v>0.76228301841573709</v>
      </c>
      <c r="J38" s="478"/>
      <c r="K38" s="478"/>
      <c r="L38" s="478"/>
      <c r="M38" s="467"/>
      <c r="N38" s="477"/>
      <c r="O38" s="477"/>
      <c r="P38" s="467"/>
      <c r="Q38" s="467"/>
      <c r="R38" s="467"/>
      <c r="S38" s="467"/>
      <c r="T38" s="467"/>
      <c r="U38" s="467"/>
      <c r="V38" s="467"/>
    </row>
    <row r="39" spans="2:28" ht="15" customHeight="1">
      <c r="C39" s="897" t="str">
        <f>IF(Indice_index!$Z$1=1,"Administração Central","Central Administration")</f>
        <v>Administração Central</v>
      </c>
      <c r="D39" s="873">
        <v>2005.25270972</v>
      </c>
      <c r="E39" s="873">
        <v>1793.2989580000001</v>
      </c>
      <c r="F39" s="873">
        <v>2005.25270972</v>
      </c>
      <c r="G39" s="873">
        <v>1679.9161783</v>
      </c>
      <c r="H39" s="877">
        <f t="shared" si="12"/>
        <v>-16.224216022399883</v>
      </c>
      <c r="I39" s="877">
        <f t="shared" si="15"/>
        <v>-1.0414675976770724</v>
      </c>
      <c r="J39" s="478"/>
      <c r="K39" s="478"/>
      <c r="L39" s="478"/>
      <c r="M39" s="467"/>
      <c r="N39" s="477"/>
      <c r="O39" s="477"/>
      <c r="P39" s="467"/>
      <c r="Q39" s="467"/>
      <c r="R39" s="467"/>
      <c r="S39" s="467"/>
      <c r="T39" s="467"/>
      <c r="U39" s="467"/>
      <c r="V39" s="467"/>
    </row>
    <row r="40" spans="2:28" ht="15" customHeight="1">
      <c r="C40" s="896" t="str">
        <f>IF(Indice_index!$Z$1=1,"Outros subsectores das AP","Other General Government subsectors")</f>
        <v>Outros subsectores das AP</v>
      </c>
      <c r="D40" s="873">
        <v>92.915999979999995</v>
      </c>
      <c r="E40" s="873">
        <v>86.357648999999995</v>
      </c>
      <c r="F40" s="873">
        <v>92.915999979999995</v>
      </c>
      <c r="G40" s="873">
        <v>81.974796299999994</v>
      </c>
      <c r="H40" s="877">
        <f t="shared" si="12"/>
        <v>-11.775370961250028</v>
      </c>
      <c r="I40" s="877">
        <f t="shared" si="15"/>
        <v>-3.5024991084061964E-2</v>
      </c>
      <c r="J40" s="478"/>
      <c r="K40" s="478"/>
      <c r="L40" s="478"/>
      <c r="M40" s="467"/>
      <c r="N40" s="477"/>
      <c r="O40" s="477"/>
      <c r="P40" s="467"/>
      <c r="Q40" s="467"/>
      <c r="R40" s="467"/>
      <c r="S40" s="467"/>
      <c r="T40" s="467"/>
      <c r="U40" s="467"/>
      <c r="V40" s="467"/>
    </row>
    <row r="41" spans="2:28" ht="15" hidden="1" customHeight="1">
      <c r="C41" s="896" t="str">
        <f>IF(Indice_index!$Z$1=1,"União Europeia","European Union")</f>
        <v>União Europeia</v>
      </c>
      <c r="D41" s="873">
        <v>0</v>
      </c>
      <c r="E41" s="873">
        <v>0</v>
      </c>
      <c r="F41" s="873">
        <v>0</v>
      </c>
      <c r="G41" s="873">
        <v>0</v>
      </c>
      <c r="H41" s="877" t="str">
        <f t="shared" si="12"/>
        <v>-</v>
      </c>
      <c r="I41" s="877">
        <f t="shared" si="15"/>
        <v>0</v>
      </c>
      <c r="J41" s="478"/>
      <c r="K41" s="478"/>
      <c r="L41" s="478"/>
      <c r="M41" s="467"/>
      <c r="N41" s="477"/>
      <c r="O41" s="477"/>
      <c r="P41" s="467"/>
      <c r="Q41" s="467"/>
      <c r="R41" s="467"/>
      <c r="S41" s="467"/>
      <c r="T41" s="467"/>
      <c r="U41" s="467"/>
      <c r="V41" s="467"/>
    </row>
    <row r="42" spans="2:28" ht="15" customHeight="1">
      <c r="C42" s="896" t="str">
        <f>IF(Indice_index!$Z$1=1,"Outras transferências","Other transfers")</f>
        <v>Outras transferências</v>
      </c>
      <c r="D42" s="873">
        <v>27707.607996609997</v>
      </c>
      <c r="E42" s="873">
        <v>26881.724130999999</v>
      </c>
      <c r="F42" s="873">
        <v>27707.607996609997</v>
      </c>
      <c r="G42" s="873">
        <v>28282.009811350006</v>
      </c>
      <c r="H42" s="877">
        <f t="shared" si="12"/>
        <v>2.0730833741053609</v>
      </c>
      <c r="I42" s="877">
        <f t="shared" si="15"/>
        <v>1.8387756071768728</v>
      </c>
      <c r="J42" s="478"/>
      <c r="K42" s="478"/>
      <c r="L42" s="478"/>
      <c r="M42" s="467"/>
      <c r="N42" s="477"/>
      <c r="O42" s="477"/>
      <c r="P42" s="467"/>
      <c r="Q42" s="467"/>
      <c r="R42" s="467"/>
      <c r="S42" s="467"/>
      <c r="T42" s="467"/>
      <c r="U42" s="467"/>
      <c r="V42" s="467"/>
    </row>
    <row r="43" spans="2:28" ht="15" customHeight="1">
      <c r="C43" s="894" t="str">
        <f>IF(Indice_index!$Z$1=1,"Subsídios","Subsidies")</f>
        <v>Subsídios</v>
      </c>
      <c r="D43" s="873">
        <v>980.28050590999999</v>
      </c>
      <c r="E43" s="873">
        <v>1612.925189</v>
      </c>
      <c r="F43" s="873">
        <v>980.28050590999999</v>
      </c>
      <c r="G43" s="873">
        <v>949.85109224999997</v>
      </c>
      <c r="H43" s="877">
        <f t="shared" si="12"/>
        <v>-3.1041537066731961</v>
      </c>
      <c r="I43" s="877">
        <f t="shared" si="15"/>
        <v>-9.7410666440928009E-2</v>
      </c>
      <c r="J43" s="478"/>
      <c r="K43" s="478"/>
      <c r="L43" s="478"/>
      <c r="M43" s="467"/>
      <c r="N43" s="477"/>
      <c r="O43" s="477"/>
      <c r="P43" s="467"/>
      <c r="Q43" s="467"/>
      <c r="R43" s="467"/>
      <c r="S43" s="467"/>
      <c r="T43" s="467"/>
      <c r="U43" s="467"/>
      <c r="V43" s="467"/>
    </row>
    <row r="44" spans="2:28" ht="15" customHeight="1">
      <c r="C44" s="894" t="str">
        <f>IF(Indice_index!$Z$1=1,"Outras despesas correntes","Other current expenditure")</f>
        <v>Outras despesas correntes</v>
      </c>
      <c r="D44" s="873">
        <v>9.9444814800000003</v>
      </c>
      <c r="E44" s="873">
        <v>14.590985999999999</v>
      </c>
      <c r="F44" s="873">
        <v>9.9444814800000003</v>
      </c>
      <c r="G44" s="873">
        <v>11.070536700000003</v>
      </c>
      <c r="H44" s="877">
        <f t="shared" si="12"/>
        <v>11.323418141656623</v>
      </c>
      <c r="I44" s="877">
        <f t="shared" si="15"/>
        <v>3.6047289854183153E-3</v>
      </c>
      <c r="J44" s="478"/>
      <c r="K44" s="478"/>
      <c r="L44" s="478"/>
      <c r="M44" s="467"/>
      <c r="N44" s="477"/>
      <c r="O44" s="477"/>
      <c r="P44" s="467"/>
      <c r="Q44" s="467"/>
      <c r="R44" s="467"/>
      <c r="S44" s="467"/>
      <c r="T44" s="467"/>
      <c r="U44" s="467"/>
      <c r="V44" s="467"/>
    </row>
    <row r="45" spans="2:28" s="471" customFormat="1" ht="15" customHeight="1">
      <c r="C45" s="893" t="str">
        <f>IF(Indice_index!$Z$1=1,"Despesa de capital","Capital expenditure")</f>
        <v>Despesa de capital</v>
      </c>
      <c r="D45" s="875">
        <f t="shared" ref="D45:E45" si="18">+D46+D47+D52</f>
        <v>42.826696200000008</v>
      </c>
      <c r="E45" s="875">
        <f t="shared" si="18"/>
        <v>102.021045</v>
      </c>
      <c r="F45" s="875">
        <f t="shared" ref="F45:G45" si="19">+F46+F47+F52</f>
        <v>42.826696200000008</v>
      </c>
      <c r="G45" s="875">
        <f t="shared" si="19"/>
        <v>51.87063177000001</v>
      </c>
      <c r="H45" s="875">
        <f t="shared" si="12"/>
        <v>21.117518679855582</v>
      </c>
      <c r="I45" s="875">
        <f t="shared" si="15"/>
        <v>2.8951454699916605E-2</v>
      </c>
      <c r="J45" s="475"/>
      <c r="K45" s="475"/>
      <c r="L45" s="475"/>
      <c r="M45" s="470"/>
      <c r="N45" s="477"/>
      <c r="O45" s="477"/>
      <c r="P45" s="470"/>
      <c r="Q45" s="470"/>
      <c r="R45" s="470"/>
      <c r="S45" s="470"/>
      <c r="T45" s="470"/>
      <c r="U45" s="470"/>
      <c r="V45" s="470"/>
    </row>
    <row r="46" spans="2:28" ht="15" customHeight="1">
      <c r="C46" s="894" t="str">
        <f>IF(Indice_index!$Z$1=1,"Investimento","Investment")</f>
        <v>Investimento</v>
      </c>
      <c r="D46" s="873">
        <v>38.651164250000008</v>
      </c>
      <c r="E46" s="873">
        <v>95.302459999999996</v>
      </c>
      <c r="F46" s="873">
        <v>38.651164250000008</v>
      </c>
      <c r="G46" s="873">
        <v>45.732888740000007</v>
      </c>
      <c r="H46" s="877">
        <f t="shared" si="12"/>
        <v>18.322150515815309</v>
      </c>
      <c r="I46" s="877">
        <f t="shared" si="15"/>
        <v>2.2670022821660259E-2</v>
      </c>
      <c r="J46" s="478"/>
      <c r="K46" s="478"/>
      <c r="L46" s="478"/>
      <c r="M46" s="467"/>
      <c r="N46" s="477"/>
      <c r="O46" s="477"/>
      <c r="P46" s="467"/>
      <c r="Q46" s="467"/>
      <c r="R46" s="467"/>
      <c r="S46" s="467"/>
      <c r="T46" s="467"/>
      <c r="U46" s="467"/>
      <c r="V46" s="467"/>
    </row>
    <row r="47" spans="2:28" ht="15" customHeight="1">
      <c r="C47" s="894" t="str">
        <f>IF(Indice_index!$Z$1=1,"Transferências de capital","Capital transfers")</f>
        <v>Transferências de capital</v>
      </c>
      <c r="D47" s="874">
        <f t="shared" ref="D47" si="20">+D49+D51+D48+D50</f>
        <v>4.1755319499999999</v>
      </c>
      <c r="E47" s="874">
        <f>(+E49+E51+E48+E50)</f>
        <v>6.718585</v>
      </c>
      <c r="F47" s="874">
        <f>(+F49+F51+F48+F50)</f>
        <v>4.1755319499999999</v>
      </c>
      <c r="G47" s="874">
        <f>(+G49+G51+G48+G50)</f>
        <v>6.1377430300000002</v>
      </c>
      <c r="H47" s="877">
        <f t="shared" si="12"/>
        <v>46.993080246937168</v>
      </c>
      <c r="I47" s="877">
        <f t="shared" si="15"/>
        <v>6.2814318782563414E-3</v>
      </c>
      <c r="J47" s="478"/>
      <c r="K47" s="478"/>
      <c r="L47" s="478"/>
      <c r="M47" s="467"/>
      <c r="N47" s="477"/>
      <c r="O47" s="477"/>
      <c r="P47" s="467"/>
      <c r="Q47" s="467"/>
      <c r="R47" s="467"/>
      <c r="S47" s="467"/>
      <c r="T47" s="467"/>
      <c r="U47" s="467"/>
      <c r="V47" s="467"/>
    </row>
    <row r="48" spans="2:28" ht="15" hidden="1" customHeight="1">
      <c r="C48" s="897" t="str">
        <f>IF(Indice_index!$Z$1=1,"Administração Central","Central Administration")</f>
        <v>Administração Central</v>
      </c>
      <c r="D48" s="873">
        <v>0</v>
      </c>
      <c r="E48" s="873">
        <v>0</v>
      </c>
      <c r="F48" s="873">
        <v>0</v>
      </c>
      <c r="G48" s="873">
        <v>0</v>
      </c>
      <c r="H48" s="877" t="str">
        <f t="shared" si="12"/>
        <v>-</v>
      </c>
      <c r="I48" s="877">
        <f t="shared" si="15"/>
        <v>0</v>
      </c>
      <c r="J48" s="478"/>
      <c r="K48" s="478"/>
      <c r="L48" s="478"/>
      <c r="M48" s="467"/>
      <c r="N48" s="477"/>
      <c r="O48" s="477"/>
      <c r="P48" s="467"/>
      <c r="Q48" s="467"/>
      <c r="R48" s="467"/>
      <c r="S48" s="467"/>
      <c r="T48" s="467"/>
      <c r="U48" s="467"/>
      <c r="V48" s="467"/>
    </row>
    <row r="49" spans="2:22" ht="15" hidden="1" customHeight="1">
      <c r="C49" s="896" t="str">
        <f>IF(Indice_index!$Z$1=1,"Outros subsectores das AP","Other General Government subsectors")</f>
        <v>Outros subsectores das AP</v>
      </c>
      <c r="D49" s="873">
        <v>0</v>
      </c>
      <c r="E49" s="873">
        <v>0</v>
      </c>
      <c r="F49" s="873">
        <v>0</v>
      </c>
      <c r="G49" s="873">
        <v>0</v>
      </c>
      <c r="H49" s="877" t="str">
        <f t="shared" si="12"/>
        <v>-</v>
      </c>
      <c r="I49" s="877">
        <f t="shared" si="15"/>
        <v>0</v>
      </c>
      <c r="J49" s="478"/>
      <c r="K49" s="478"/>
      <c r="L49" s="478"/>
      <c r="M49" s="467"/>
      <c r="N49" s="477"/>
      <c r="O49" s="477"/>
      <c r="P49" s="467"/>
      <c r="Q49" s="467"/>
      <c r="R49" s="467"/>
      <c r="S49" s="467"/>
      <c r="T49" s="467"/>
      <c r="U49" s="467"/>
      <c r="V49" s="467"/>
    </row>
    <row r="50" spans="2:22" ht="15" customHeight="1">
      <c r="C50" s="896" t="str">
        <f>IF(Indice_index!$Z$1=1,"União Europeia","European Union")</f>
        <v>União Europeia</v>
      </c>
      <c r="D50" s="873">
        <v>0.77931732999999992</v>
      </c>
      <c r="E50" s="873">
        <v>0.88119999999999998</v>
      </c>
      <c r="F50" s="873">
        <v>0.77931732999999992</v>
      </c>
      <c r="G50" s="873">
        <v>0.35967505</v>
      </c>
      <c r="H50" s="877">
        <f t="shared" si="12"/>
        <v>-53.847420536638133</v>
      </c>
      <c r="I50" s="877">
        <f t="shared" si="15"/>
        <v>-1.3433592450493004E-3</v>
      </c>
      <c r="J50" s="478"/>
      <c r="K50" s="478"/>
      <c r="L50" s="478"/>
      <c r="M50" s="467"/>
      <c r="N50" s="477"/>
      <c r="O50" s="477"/>
      <c r="P50" s="467"/>
      <c r="Q50" s="467"/>
      <c r="R50" s="467"/>
      <c r="S50" s="467"/>
      <c r="T50" s="467"/>
      <c r="U50" s="467"/>
      <c r="V50" s="467"/>
    </row>
    <row r="51" spans="2:22" ht="15" customHeight="1">
      <c r="C51" s="896" t="str">
        <f>IF(Indice_index!$Z$1=1,"Outras transferências","Other transfers")</f>
        <v>Outras transferências</v>
      </c>
      <c r="D51" s="873">
        <v>3.3962146200000003</v>
      </c>
      <c r="E51" s="873">
        <v>5.8373850000000003</v>
      </c>
      <c r="F51" s="873">
        <v>3.3962146200000003</v>
      </c>
      <c r="G51" s="873">
        <v>5.7780679800000003</v>
      </c>
      <c r="H51" s="877">
        <f t="shared" si="12"/>
        <v>70.132592503827098</v>
      </c>
      <c r="I51" s="877">
        <f t="shared" si="15"/>
        <v>7.6247911233056406E-3</v>
      </c>
      <c r="J51" s="478"/>
      <c r="K51" s="478"/>
      <c r="L51" s="478"/>
      <c r="M51" s="467"/>
      <c r="N51" s="477"/>
      <c r="O51" s="477"/>
      <c r="P51" s="467"/>
      <c r="Q51" s="467"/>
      <c r="R51" s="467"/>
      <c r="S51" s="467"/>
      <c r="T51" s="467"/>
      <c r="U51" s="467"/>
      <c r="V51" s="467"/>
    </row>
    <row r="52" spans="2:22" ht="15" hidden="1" customHeight="1">
      <c r="C52" s="894" t="str">
        <f>IF(Indice_index!$Z$1=1,"Outras despesas de capital","Other capital expenditure")</f>
        <v>Outras despesas de capital</v>
      </c>
      <c r="D52" s="873">
        <v>0</v>
      </c>
      <c r="E52" s="873">
        <v>0</v>
      </c>
      <c r="F52" s="873">
        <v>0</v>
      </c>
      <c r="G52" s="873">
        <v>0</v>
      </c>
      <c r="H52" s="877" t="str">
        <f t="shared" si="12"/>
        <v>-</v>
      </c>
      <c r="I52" s="877">
        <f t="shared" si="15"/>
        <v>0</v>
      </c>
      <c r="J52" s="478"/>
      <c r="K52" s="478"/>
      <c r="L52" s="478"/>
      <c r="M52" s="467"/>
      <c r="N52" s="477"/>
      <c r="O52" s="477"/>
      <c r="P52" s="467"/>
      <c r="Q52" s="467"/>
      <c r="R52" s="467"/>
      <c r="S52" s="467"/>
      <c r="T52" s="467"/>
      <c r="U52" s="467"/>
      <c r="V52" s="467"/>
    </row>
    <row r="53" spans="2:22" ht="4.5" customHeight="1">
      <c r="C53" s="894"/>
      <c r="D53" s="877"/>
      <c r="E53" s="877"/>
      <c r="F53" s="877"/>
      <c r="G53" s="877"/>
      <c r="H53" s="877"/>
      <c r="I53" s="877"/>
      <c r="J53" s="478"/>
      <c r="K53" s="478"/>
      <c r="L53" s="478"/>
      <c r="M53" s="484"/>
      <c r="N53" s="477"/>
      <c r="O53" s="477"/>
      <c r="P53" s="467"/>
      <c r="Q53" s="467"/>
      <c r="R53" s="467"/>
      <c r="S53" s="467"/>
      <c r="T53" s="467"/>
      <c r="U53" s="467"/>
      <c r="V53" s="467"/>
    </row>
    <row r="54" spans="2:22" s="471" customFormat="1" ht="15" customHeight="1">
      <c r="C54" s="898" t="str">
        <f>IF(Indice_index!$Z$1=1,"Despesa efetiva","Effective Expenditure")</f>
        <v>Despesa efetiva</v>
      </c>
      <c r="D54" s="876">
        <f t="shared" ref="D54:E54" si="21">+D45+D31</f>
        <v>31238.276845639997</v>
      </c>
      <c r="E54" s="876">
        <f t="shared" si="21"/>
        <v>31012.808222000003</v>
      </c>
      <c r="F54" s="876">
        <f t="shared" ref="F54:G54" si="22">+F45+F31</f>
        <v>31238.276845639997</v>
      </c>
      <c r="G54" s="876">
        <f t="shared" si="22"/>
        <v>31456.936070540007</v>
      </c>
      <c r="H54" s="876">
        <f t="shared" ref="H54" si="23">IF(IFERROR((G54-F54)/F54*100,"")&gt;500,"-",IFERROR((G54-F54)/F54*100,""))</f>
        <v>0.69997210787421638</v>
      </c>
      <c r="I54" s="876"/>
      <c r="J54" s="475"/>
      <c r="K54" s="475"/>
      <c r="L54" s="475"/>
      <c r="M54" s="470"/>
      <c r="N54" s="477"/>
      <c r="O54" s="477"/>
      <c r="P54" s="470"/>
      <c r="Q54" s="470"/>
      <c r="R54" s="470"/>
      <c r="S54" s="470"/>
      <c r="T54" s="470"/>
      <c r="U54" s="470"/>
      <c r="V54" s="470"/>
    </row>
    <row r="55" spans="2:22" ht="4.5" customHeight="1">
      <c r="C55" s="899"/>
      <c r="D55" s="168"/>
      <c r="E55" s="168"/>
      <c r="F55" s="168"/>
      <c r="G55" s="168"/>
      <c r="H55" s="900"/>
      <c r="I55" s="877"/>
      <c r="J55" s="478"/>
      <c r="K55" s="478"/>
      <c r="L55" s="478"/>
      <c r="N55" s="477"/>
      <c r="O55" s="477"/>
      <c r="P55" s="484"/>
      <c r="Q55" s="484"/>
      <c r="R55" s="484"/>
      <c r="S55" s="467"/>
      <c r="T55" s="467"/>
      <c r="U55" s="467"/>
      <c r="V55" s="467"/>
    </row>
    <row r="56" spans="2:22" s="471" customFormat="1" ht="15" customHeight="1">
      <c r="C56" s="901" t="str">
        <f>IF(Indice_index!$Z$1=1,"Saldo global","Overall Balance")</f>
        <v>Saldo global</v>
      </c>
      <c r="D56" s="878">
        <f t="shared" ref="D56:G56" si="24">+D29-D54</f>
        <v>2328.2650340600048</v>
      </c>
      <c r="E56" s="878">
        <f t="shared" ref="E56" si="25">+E29-E54</f>
        <v>2596.0109849999972</v>
      </c>
      <c r="F56" s="878">
        <f>+F29-F54</f>
        <v>2328.2650340600048</v>
      </c>
      <c r="G56" s="878">
        <f t="shared" si="24"/>
        <v>4065.8513510100056</v>
      </c>
      <c r="H56" s="878"/>
      <c r="I56" s="878"/>
      <c r="J56" s="485"/>
      <c r="K56" s="486"/>
      <c r="L56" s="475"/>
      <c r="N56" s="477"/>
      <c r="O56" s="477"/>
      <c r="P56" s="470"/>
      <c r="Q56" s="470"/>
      <c r="R56" s="470"/>
      <c r="S56" s="470"/>
      <c r="T56" s="470"/>
      <c r="U56" s="470"/>
      <c r="V56" s="470"/>
    </row>
    <row r="57" spans="2:22" ht="8.25" customHeight="1">
      <c r="B57" s="467"/>
      <c r="C57" s="902"/>
      <c r="D57" s="168"/>
      <c r="E57" s="168"/>
      <c r="F57" s="168"/>
      <c r="G57" s="168"/>
      <c r="H57" s="895"/>
      <c r="I57" s="903"/>
      <c r="J57" s="478"/>
      <c r="K57" s="478"/>
      <c r="L57" s="478"/>
      <c r="N57" s="477"/>
      <c r="O57" s="477"/>
    </row>
    <row r="58" spans="2:22" ht="15" customHeight="1">
      <c r="B58" s="467"/>
      <c r="C58" s="904" t="str">
        <f>IF(Indice_index!$Z$1=1,"Despesa  primária","Primary Expenditure")</f>
        <v>Despesa  primária</v>
      </c>
      <c r="D58" s="879">
        <f t="shared" ref="D58:E58" si="26">+D54-D37</f>
        <v>31231.769790899998</v>
      </c>
      <c r="E58" s="879">
        <f t="shared" si="26"/>
        <v>31002.445415000002</v>
      </c>
      <c r="F58" s="879">
        <f t="shared" ref="F58:G58" si="27">+F54-F37</f>
        <v>31231.769790899998</v>
      </c>
      <c r="G58" s="879">
        <f t="shared" si="27"/>
        <v>31450.040769030005</v>
      </c>
      <c r="H58" s="874">
        <f t="shared" ref="H58" si="28">IF(IFERROR((G58-F58)/F58*100,"")&gt;500,"-",IFERROR((G58-F58)/F58*100,""))</f>
        <v>0.69887483031334618</v>
      </c>
      <c r="I58" s="877"/>
      <c r="J58" s="478"/>
      <c r="K58" s="478"/>
      <c r="L58" s="478"/>
      <c r="N58" s="477"/>
      <c r="O58" s="477"/>
    </row>
    <row r="59" spans="2:22" ht="15" customHeight="1">
      <c r="B59" s="467"/>
      <c r="C59" s="904" t="str">
        <f>IF(Indice_index!$Z$1=1,"Saldo primário","Primary balance")</f>
        <v>Saldo primário</v>
      </c>
      <c r="D59" s="879">
        <f t="shared" ref="D59:E59" si="29">+D56+D37</f>
        <v>2334.7720888000049</v>
      </c>
      <c r="E59" s="879">
        <f t="shared" si="29"/>
        <v>2606.3737919999971</v>
      </c>
      <c r="F59" s="879">
        <f t="shared" ref="F59:G59" si="30">+F56+F37</f>
        <v>2334.7720888000049</v>
      </c>
      <c r="G59" s="879">
        <f t="shared" si="30"/>
        <v>4072.7466525200057</v>
      </c>
      <c r="H59" s="874"/>
      <c r="I59" s="874"/>
      <c r="J59" s="478"/>
      <c r="K59" s="478"/>
      <c r="L59" s="478"/>
      <c r="N59" s="477"/>
      <c r="O59" s="477"/>
    </row>
    <row r="60" spans="2:22" ht="15" customHeight="1">
      <c r="B60" s="467"/>
      <c r="C60" s="904" t="str">
        <f>IF(Indice_index!$Z$1=1,"Saldo corrente","Current balance")</f>
        <v>Saldo corrente</v>
      </c>
      <c r="D60" s="879">
        <f>+D8-D31</f>
        <v>2370.1762771700087</v>
      </c>
      <c r="E60" s="879">
        <f>+E8-E31</f>
        <v>2690.4053229999954</v>
      </c>
      <c r="F60" s="879">
        <f>+F8-F31</f>
        <v>2370.1762771700087</v>
      </c>
      <c r="G60" s="879">
        <f>+G8-G31</f>
        <v>4116.5389517300064</v>
      </c>
      <c r="H60" s="874"/>
      <c r="I60" s="874"/>
      <c r="J60" s="478"/>
      <c r="K60" s="478"/>
      <c r="L60" s="478"/>
      <c r="N60" s="477"/>
      <c r="O60" s="477"/>
    </row>
    <row r="61" spans="2:22" ht="15" customHeight="1">
      <c r="B61" s="467"/>
      <c r="C61" s="904" t="str">
        <f>IF(Indice_index!$Z$1=1,"Saldo de capital","Capital balance")</f>
        <v>Saldo de capital</v>
      </c>
      <c r="D61" s="879">
        <f>+D20-D45</f>
        <v>-41.911243110000008</v>
      </c>
      <c r="E61" s="879">
        <f>+E20-E45</f>
        <v>-94.394338000000005</v>
      </c>
      <c r="F61" s="879">
        <f>+F20-F45</f>
        <v>-41.911243110000008</v>
      </c>
      <c r="G61" s="879">
        <f>+G20-G45</f>
        <v>-50.687600720000013</v>
      </c>
      <c r="H61" s="874"/>
      <c r="I61" s="874"/>
      <c r="J61" s="478"/>
      <c r="K61" s="478"/>
      <c r="L61" s="478"/>
      <c r="N61" s="477"/>
      <c r="O61" s="477"/>
    </row>
    <row r="62" spans="2:22" ht="4.5" customHeight="1">
      <c r="B62" s="467"/>
      <c r="C62" s="904"/>
      <c r="D62" s="873"/>
      <c r="E62" s="873"/>
      <c r="F62" s="873"/>
      <c r="G62" s="873"/>
      <c r="H62" s="895"/>
      <c r="I62" s="903"/>
      <c r="J62" s="478"/>
      <c r="K62" s="478"/>
      <c r="L62" s="478"/>
      <c r="N62" s="477"/>
      <c r="O62" s="477"/>
    </row>
    <row r="63" spans="2:22" ht="15" customHeight="1">
      <c r="B63" s="467"/>
      <c r="C63" s="904" t="str">
        <f>IF(Indice_index!$Z$1=1,"Ativos financeiros líquidos de reembolsos","Financial assets net of reimbursements")</f>
        <v>Ativos financeiros líquidos de reembolsos</v>
      </c>
      <c r="D63" s="873">
        <v>4376.8330583500019</v>
      </c>
      <c r="E63" s="873">
        <v>451.730343</v>
      </c>
      <c r="F63" s="873">
        <v>4376.8330583500019</v>
      </c>
      <c r="G63" s="873">
        <v>2688.9266680199985</v>
      </c>
      <c r="H63" s="895"/>
      <c r="I63" s="903"/>
      <c r="J63" s="478"/>
      <c r="K63" s="478"/>
      <c r="L63" s="478"/>
      <c r="N63" s="477"/>
      <c r="O63" s="477"/>
    </row>
    <row r="64" spans="2:22" ht="15" customHeight="1">
      <c r="B64" s="467"/>
      <c r="C64" s="902" t="str">
        <f>IF(Indice_index!$Z$1=1,"dos quais Receitas de:","of which revenue from:")</f>
        <v>dos quais Receitas de:</v>
      </c>
      <c r="D64" s="873"/>
      <c r="E64" s="873"/>
      <c r="F64" s="873">
        <v>0</v>
      </c>
      <c r="G64" s="873">
        <v>0</v>
      </c>
      <c r="H64" s="895"/>
      <c r="I64" s="903"/>
      <c r="J64" s="478"/>
      <c r="K64" s="478"/>
      <c r="L64" s="478"/>
      <c r="N64" s="477"/>
      <c r="O64" s="477"/>
    </row>
    <row r="65" spans="2:18" ht="15" hidden="1" customHeight="1">
      <c r="C65" s="905" t="str">
        <f>IF(Indice_index!$Z$1=1,"Alienação de partes de Capital","Disposal of Capital Shares")</f>
        <v>Alienação de partes de Capital</v>
      </c>
      <c r="D65" s="873">
        <v>0</v>
      </c>
      <c r="E65" s="873"/>
      <c r="F65" s="873">
        <v>0</v>
      </c>
      <c r="G65" s="873">
        <v>0</v>
      </c>
      <c r="H65" s="895"/>
      <c r="I65" s="903"/>
      <c r="J65" s="478"/>
      <c r="K65" s="478"/>
      <c r="L65" s="478"/>
      <c r="N65" s="477"/>
      <c r="O65" s="477"/>
    </row>
    <row r="66" spans="2:18" ht="15" customHeight="1">
      <c r="B66" s="468"/>
      <c r="C66" s="905" t="str">
        <f>IF(Indice_index!$Z$1=1,"Outros Ativos","Other Assets")</f>
        <v>Outros Ativos</v>
      </c>
      <c r="D66" s="873">
        <v>7165.9928975199991</v>
      </c>
      <c r="E66" s="873">
        <v>26677.602394000001</v>
      </c>
      <c r="F66" s="873">
        <v>7165.9928975199991</v>
      </c>
      <c r="G66" s="873">
        <v>9318.1303147299986</v>
      </c>
      <c r="H66" s="895"/>
      <c r="I66" s="903"/>
      <c r="J66" s="478"/>
      <c r="K66" s="478"/>
      <c r="L66" s="478"/>
      <c r="N66" s="477"/>
      <c r="O66" s="477"/>
    </row>
    <row r="67" spans="2:18" ht="15" customHeight="1">
      <c r="B67" s="468"/>
      <c r="C67" s="904" t="str">
        <f>IF(Indice_index!$Z$1=1,"Passivos financeiros líquidos de amortizações","Financial liabilities net of amortizations")</f>
        <v>Passivos financeiros líquidos de amortizações</v>
      </c>
      <c r="D67" s="873">
        <v>0</v>
      </c>
      <c r="E67" s="873">
        <v>-39.512804000000003</v>
      </c>
      <c r="F67" s="873">
        <v>0</v>
      </c>
      <c r="G67" s="873">
        <v>-5.8375830000000004E-2</v>
      </c>
      <c r="H67" s="877"/>
      <c r="I67" s="906"/>
      <c r="J67" s="478"/>
      <c r="K67" s="478"/>
      <c r="L67" s="478"/>
      <c r="N67" s="477"/>
      <c r="O67" s="477"/>
    </row>
    <row r="68" spans="2:18" ht="15" customHeight="1">
      <c r="B68" s="467"/>
      <c r="C68" s="892" t="str">
        <f>IF(Indice_index!$Z$1=1,"Poupança (+) / Utilização (-) de saldo da gerência anterior","Saving (+) / Usage (-) of balance from previous management")</f>
        <v>Poupança (+) / Utilização (-) de saldo da gerência anterior</v>
      </c>
      <c r="D68" s="880">
        <f t="shared" ref="D68:E68" si="31">+D56-D63+D67</f>
        <v>-2048.5680242899971</v>
      </c>
      <c r="E68" s="880">
        <f t="shared" si="31"/>
        <v>2104.767837999997</v>
      </c>
      <c r="F68" s="880">
        <f t="shared" ref="F68:G68" si="32">+F56-F63+F67</f>
        <v>-2048.5680242899971</v>
      </c>
      <c r="G68" s="880">
        <f t="shared" si="32"/>
        <v>1376.8663071600072</v>
      </c>
      <c r="H68" s="907"/>
      <c r="I68" s="908"/>
      <c r="J68" s="478"/>
      <c r="K68" s="478"/>
      <c r="L68" s="478"/>
      <c r="N68" s="477"/>
      <c r="O68" s="477"/>
    </row>
    <row r="69" spans="2:18" s="123" customFormat="1" ht="4.5" customHeight="1">
      <c r="C69" s="836"/>
      <c r="D69" s="836"/>
      <c r="E69" s="836"/>
      <c r="F69" s="842"/>
      <c r="G69" s="842"/>
      <c r="H69" s="836"/>
      <c r="I69" s="836"/>
      <c r="J69" s="465"/>
      <c r="K69" s="111"/>
    </row>
    <row r="70" spans="2:18" s="123" customFormat="1" ht="15" customHeight="1">
      <c r="C70" s="909" t="str">
        <f>IF(Indice_index!$Z$1=1,"Notas:","Notes:")</f>
        <v>Notas:</v>
      </c>
      <c r="D70" s="909"/>
      <c r="E70" s="909"/>
      <c r="F70" s="842"/>
      <c r="G70" s="842"/>
      <c r="H70" s="836"/>
      <c r="I70" s="836"/>
      <c r="J70" s="465"/>
      <c r="K70" s="111"/>
    </row>
    <row r="71" spans="2:18" s="96" customFormat="1" ht="15" customHeight="1">
      <c r="C71" s="1743" t="str">
        <f>IF(Indice_index!$Z$1=1,"Valores consolidados - são excluídas transferências intra-setoriais.","Consolidated data - transfers within the subsector are excluded.")</f>
        <v>Valores consolidados - são excluídas transferências intra-setoriais.</v>
      </c>
      <c r="D71" s="1743"/>
      <c r="E71" s="1743"/>
      <c r="F71" s="1743"/>
      <c r="G71" s="1743"/>
      <c r="H71" s="1743"/>
      <c r="I71" s="1743"/>
      <c r="J71" s="111"/>
      <c r="K71" s="111"/>
    </row>
    <row r="72" spans="2:18" s="123" customFormat="1" ht="13.5" customHeight="1">
      <c r="C72" s="1743"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743"/>
      <c r="E72" s="1743"/>
      <c r="F72" s="1743"/>
      <c r="G72" s="1743"/>
      <c r="H72" s="1743"/>
      <c r="I72" s="1743"/>
      <c r="J72" s="463"/>
      <c r="K72" s="135"/>
    </row>
    <row r="73" spans="2:18" s="22" customFormat="1" ht="12.75" customHeight="1">
      <c r="C73" s="1744" t="str">
        <f>+'5 - Conta AC + SS'!$C$64</f>
        <v>Os dados da execução acumulada de 2021 correspondem aos valores publicados na Conta Geral do Estado.</v>
      </c>
      <c r="D73" s="1744"/>
      <c r="E73" s="1744"/>
      <c r="F73" s="1744"/>
      <c r="G73" s="1744"/>
      <c r="H73" s="1744"/>
      <c r="I73" s="1744"/>
      <c r="J73" s="62"/>
      <c r="Q73" s="24"/>
      <c r="R73" s="24"/>
    </row>
    <row r="74" spans="2:18" s="123" customFormat="1" ht="4.5" customHeight="1">
      <c r="C74" s="836"/>
      <c r="D74" s="836"/>
      <c r="E74" s="836"/>
      <c r="F74" s="842"/>
      <c r="G74" s="910"/>
      <c r="H74" s="836"/>
      <c r="I74" s="836"/>
      <c r="J74" s="465"/>
      <c r="K74" s="465"/>
    </row>
    <row r="75" spans="2:18" ht="15" customHeight="1">
      <c r="C75" s="836" t="str">
        <f>IF(Indice_index!$Z$1=1,"Fonte: Instituto de Gestão Financeira da Segurança Social, I.P.","Souce: Social Security Finance Management Institute")</f>
        <v>Fonte: Instituto de Gestão Financeira da Segurança Social, I.P.</v>
      </c>
      <c r="D75" s="836"/>
      <c r="E75" s="836"/>
      <c r="F75" s="168"/>
      <c r="G75" s="911"/>
      <c r="H75" s="836"/>
      <c r="I75" s="836"/>
      <c r="J75" s="465"/>
      <c r="K75" s="465"/>
    </row>
    <row r="76" spans="2:18" ht="12.75" customHeight="1">
      <c r="F76" s="662"/>
      <c r="G76" s="137"/>
    </row>
    <row r="77" spans="2:18" ht="12.75" customHeight="1">
      <c r="F77" s="608"/>
      <c r="G77" s="608"/>
    </row>
    <row r="78" spans="2:18" ht="12.75" customHeight="1">
      <c r="F78" s="608"/>
      <c r="G78" s="608"/>
    </row>
    <row r="79" spans="2:18" ht="12.75" customHeight="1">
      <c r="F79" s="608"/>
      <c r="G79" s="608"/>
    </row>
    <row r="80" spans="2:18" ht="12.75" customHeight="1"/>
    <row r="81" spans="6:9" ht="12.75" customHeight="1">
      <c r="F81" s="608"/>
      <c r="G81" s="608"/>
    </row>
    <row r="82" spans="6:9" ht="12.75" customHeight="1">
      <c r="F82" s="608"/>
      <c r="G82" s="608"/>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912"/>
      <c r="G91" s="912"/>
      <c r="I91" s="611"/>
    </row>
    <row r="92" spans="6:9" ht="12.75" customHeight="1">
      <c r="F92" s="912"/>
      <c r="G92" s="912"/>
      <c r="I92" s="611"/>
    </row>
    <row r="93" spans="6:9" ht="12.75" customHeight="1">
      <c r="F93" s="611"/>
      <c r="G93" s="611"/>
      <c r="H93" s="662"/>
      <c r="I93" s="662"/>
    </row>
    <row r="94" spans="6:9" ht="12.75" customHeight="1"/>
    <row r="95" spans="6:9" ht="12.75" customHeight="1"/>
    <row r="96" spans="6:9" ht="12.75" customHeight="1">
      <c r="F96" s="611"/>
      <c r="G96" s="611"/>
      <c r="H96" s="662"/>
      <c r="I96" s="662"/>
    </row>
    <row r="97" spans="3:5" ht="12.75" customHeight="1"/>
    <row r="98" spans="3:5" ht="12.75" customHeight="1"/>
    <row r="99" spans="3:5" ht="12.75" customHeight="1"/>
    <row r="100" spans="3:5" ht="12.75" customHeight="1">
      <c r="C100" s="551"/>
      <c r="D100" s="551"/>
      <c r="E100" s="55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36" customWidth="1"/>
    <col min="2" max="2" width="4.42578125" style="136" customWidth="1"/>
    <col min="3" max="3" width="40.5703125" style="136" customWidth="1"/>
    <col min="4" max="5" width="8.140625" style="136" customWidth="1"/>
    <col min="6" max="6" width="7.5703125" style="136" customWidth="1"/>
    <col min="7" max="7" width="8.140625" style="136" customWidth="1"/>
    <col min="8" max="8" width="8.5703125" style="136" customWidth="1"/>
    <col min="9" max="9" width="8.5703125" style="366" customWidth="1"/>
    <col min="10" max="10" width="7.85546875" style="366" customWidth="1"/>
    <col min="11" max="11" width="8" style="366" customWidth="1"/>
    <col min="12" max="12" width="7.140625" style="366" customWidth="1"/>
    <col min="13" max="13" width="8.5703125" style="4" customWidth="1"/>
    <col min="14" max="14" width="8.5703125" style="136" customWidth="1"/>
    <col min="15" max="15" width="9.140625" style="246" customWidth="1"/>
    <col min="16" max="16" width="11" style="246" bestFit="1" customWidth="1"/>
    <col min="17" max="17" width="5.5703125" style="136" customWidth="1"/>
    <col min="18" max="18" width="10.42578125" style="136" bestFit="1" customWidth="1"/>
    <col min="19" max="19" width="3.5703125" style="136" customWidth="1"/>
    <col min="20" max="20" width="3.140625" style="136" customWidth="1"/>
    <col min="21" max="21" width="3.5703125" style="136" customWidth="1"/>
    <col min="22" max="23" width="12.5703125" style="136" bestFit="1" customWidth="1"/>
    <col min="24" max="24" width="3.5703125" style="136" customWidth="1"/>
    <col min="25" max="16384" width="9.14062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Execução Orçamental da Administração Regional</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1209" t="str">
        <f>+'5 - Conta AC + SS'!C5</f>
        <v>Período: janeiro a dezembro</v>
      </c>
      <c r="D5" s="1408"/>
      <c r="E5" s="1408"/>
      <c r="F5" s="1409"/>
      <c r="G5" s="1409"/>
      <c r="H5" s="1409"/>
      <c r="I5" s="1409"/>
      <c r="J5" s="1409"/>
      <c r="K5" s="1214"/>
      <c r="L5" s="1214"/>
      <c r="M5" s="1214" t="str">
        <f>IF(Indice_index!$Z$1=1,"€ Milhões","€ Millions")</f>
        <v>€ Milhões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410"/>
      <c r="D6" s="1748" t="str">
        <f>IF(Indice_index!$Z$1=1,"R. Autónoma dos Açores","Azores Autonomous Region")</f>
        <v>R. Autónoma dos Açores</v>
      </c>
      <c r="E6" s="1749"/>
      <c r="F6" s="1750"/>
      <c r="G6" s="1748" t="str">
        <f>IF(Indice_index!$Z$1=1,"R. Autónoma da Madeira","Madeira Autonomous Region")</f>
        <v>R. Autónoma da Madeira</v>
      </c>
      <c r="H6" s="1749"/>
      <c r="I6" s="1750"/>
      <c r="J6" s="1411" t="str">
        <f>IF(Indice_index!$Z$1=1,"Administração Regional","Regional Government")</f>
        <v>Administração Regional</v>
      </c>
      <c r="K6" s="1412"/>
      <c r="L6" s="1412"/>
      <c r="M6" s="1412"/>
      <c r="N6" s="383"/>
      <c r="Q6" s="138"/>
      <c r="R6" s="139"/>
      <c r="S6" s="140"/>
      <c r="T6" s="140"/>
      <c r="U6" s="140"/>
      <c r="V6" s="141"/>
      <c r="W6" s="142"/>
      <c r="X6" s="142"/>
      <c r="Y6" s="140"/>
      <c r="Z6" s="140"/>
      <c r="AA6" s="140"/>
      <c r="AB6" s="138"/>
      <c r="AC6" s="138"/>
      <c r="AD6" s="138"/>
      <c r="AE6" s="138"/>
      <c r="AF6" s="138"/>
      <c r="AG6" s="138"/>
    </row>
    <row r="7" spans="2:33" ht="21.75" customHeight="1">
      <c r="C7" s="1413"/>
      <c r="D7" s="1746" t="str">
        <f>IF(Indice_index!$Z$1=1,"Execução Acumulada","Accumulated Execution")</f>
        <v>Execução Acumulada</v>
      </c>
      <c r="E7" s="1747"/>
      <c r="F7" s="1751"/>
      <c r="G7" s="1746" t="str">
        <f>IF(Indice_index!$Z$1=1,"Execução Acumulada","Accumulated Execution")</f>
        <v>Execução Acumulada</v>
      </c>
      <c r="H7" s="1747"/>
      <c r="I7" s="1751"/>
      <c r="J7" s="1746" t="str">
        <f>IF(Indice_index!$Z$1=1,"Execução Acumulada","Accumulated Execution")</f>
        <v>Execução Acumulada</v>
      </c>
      <c r="K7" s="1747"/>
      <c r="L7" s="1747"/>
      <c r="M7" s="1747"/>
      <c r="N7" s="383"/>
      <c r="Q7" s="1745"/>
      <c r="R7" s="1745"/>
      <c r="S7" s="143"/>
      <c r="T7" s="143"/>
      <c r="U7" s="143"/>
      <c r="V7" s="143"/>
      <c r="W7" s="1745"/>
      <c r="X7" s="1745"/>
      <c r="Y7" s="143"/>
      <c r="Z7" s="143"/>
      <c r="AA7" s="143"/>
      <c r="AB7" s="138"/>
      <c r="AC7" s="138"/>
      <c r="AD7" s="138"/>
      <c r="AE7" s="138"/>
      <c r="AF7" s="138"/>
      <c r="AG7" s="138"/>
    </row>
    <row r="8" spans="2:33" ht="30.75" customHeight="1">
      <c r="C8" s="1414"/>
      <c r="D8" s="1415">
        <v>2021</v>
      </c>
      <c r="E8" s="1416">
        <v>2022</v>
      </c>
      <c r="F8" s="1417" t="str">
        <f>IF(Indice_index!$Z$1=1,"TVH (%)","YOY Change Rate (%)")</f>
        <v>TVH (%)</v>
      </c>
      <c r="G8" s="1418">
        <v>2021</v>
      </c>
      <c r="H8" s="1416">
        <v>2022</v>
      </c>
      <c r="I8" s="1417" t="str">
        <f>IF(Indice_index!$Z$1=1,"TVH (%)","YOY Change Rate (%)")</f>
        <v>TVH (%)</v>
      </c>
      <c r="J8" s="1415">
        <v>2021</v>
      </c>
      <c r="K8" s="1416">
        <v>2022</v>
      </c>
      <c r="L8" s="1417" t="str">
        <f>IF(Indice_index!$Z$1=1,"TVH (%)","YOY Change Rate (%)")</f>
        <v>TVH (%)</v>
      </c>
      <c r="M8" s="1419" t="str">
        <f>IF(Indice_index!$Z$1=1,"Contributo VH (p.p.)","YOY Change Contrib. (p.p.)")</f>
        <v>Contributo VH (p.p.)</v>
      </c>
      <c r="N8" s="383"/>
      <c r="Q8" s="144"/>
      <c r="R8" s="145"/>
      <c r="S8" s="146"/>
      <c r="T8" s="146"/>
      <c r="U8" s="146"/>
      <c r="V8" s="146"/>
      <c r="W8" s="144"/>
      <c r="X8" s="145"/>
      <c r="Y8" s="146"/>
      <c r="Z8" s="146"/>
      <c r="AA8" s="146"/>
      <c r="AB8" s="138"/>
      <c r="AC8" s="138"/>
      <c r="AD8" s="138"/>
      <c r="AE8" s="138"/>
      <c r="AF8" s="138"/>
      <c r="AG8" s="138"/>
    </row>
    <row r="9" spans="2:33" s="298" customFormat="1" ht="15" customHeight="1">
      <c r="C9" s="1420" t="str">
        <f>IF(Indice_index!$Z$1=1,"Receita corrente","Current revenue")</f>
        <v>Receita corrente</v>
      </c>
      <c r="D9" s="1421">
        <v>1126.2809307199998</v>
      </c>
      <c r="E9" s="1421">
        <v>1041.1696690399999</v>
      </c>
      <c r="F9" s="301">
        <f>IFERROR(IF(ABS((E9-D9)/D9)*100&gt;500,"n.r",((E9-D9)/D9)*100),0)</f>
        <v>-7.5568412248257308</v>
      </c>
      <c r="G9" s="1421">
        <v>1161.7795485299998</v>
      </c>
      <c r="H9" s="1421">
        <v>1334.8602704599998</v>
      </c>
      <c r="I9" s="301">
        <f>IFERROR(IF(ABS((H9-G9)/G9)*100&gt;500,"n.r",((H9-G9)/G9)*100),0)</f>
        <v>14.897897122478968</v>
      </c>
      <c r="J9" s="1421">
        <v>2287.2962758599997</v>
      </c>
      <c r="K9" s="1421">
        <v>2376.0299394999997</v>
      </c>
      <c r="L9" s="301">
        <f>IFERROR(IF(ABS((K9-J9)/J9)*100&gt;500,"n.r",((K9-J9)/J9)*100),0)</f>
        <v>3.8794127624169326</v>
      </c>
      <c r="M9" s="301">
        <f t="shared" ref="M9:M21" si="0">IFERROR((K9-J9)/$J$35*100,"-")</f>
        <v>3.2841788339469318</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422" t="str">
        <f>IF(Indice_index!$Z$1=1,"Receita Fiscal","Tax revenue")</f>
        <v>Receita Fiscal</v>
      </c>
      <c r="D10" s="1423">
        <v>715.92604348999998</v>
      </c>
      <c r="E10" s="1423">
        <v>744.44714704</v>
      </c>
      <c r="F10" s="1370">
        <f t="shared" ref="F10:F58" si="1">IFERROR(IF(ABS((E10-D10)/D10)*100&gt;500,"n.r",((E10-D10)/D10)*100),0)</f>
        <v>3.9838058427048129</v>
      </c>
      <c r="G10" s="1423">
        <v>874.26594890000001</v>
      </c>
      <c r="H10" s="1423">
        <v>1012.5874875099998</v>
      </c>
      <c r="I10" s="1370">
        <f t="shared" ref="I10:I58" si="2">IFERROR(IF(ABS((H10-G10)/G10)*100&gt;500,"n.r",((H10-G10)/G10)*100),0)</f>
        <v>15.821448700368093</v>
      </c>
      <c r="J10" s="1423">
        <v>1590.19199239</v>
      </c>
      <c r="K10" s="1423">
        <v>1757.0346345499997</v>
      </c>
      <c r="L10" s="1370">
        <f t="shared" ref="L10:L58" si="3">IFERROR(IF(ABS((K10-J10)/J10)*100&gt;500,"n.r",((K10-J10)/J10)*100),0)</f>
        <v>10.491981028607835</v>
      </c>
      <c r="M10" s="1370">
        <f t="shared" si="0"/>
        <v>6.1751205968987861</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374" t="str">
        <f>IF(Indice_index!$Z$1=1,"Impostos diretos","Direct taxes")</f>
        <v>Impostos diretos</v>
      </c>
      <c r="D11" s="1423">
        <v>236.13073197</v>
      </c>
      <c r="E11" s="1423">
        <v>238.57892672999998</v>
      </c>
      <c r="F11" s="1370">
        <f t="shared" si="1"/>
        <v>1.0367963287010931</v>
      </c>
      <c r="G11" s="1423">
        <v>288.71882784999997</v>
      </c>
      <c r="H11" s="1423">
        <v>364.95058743999999</v>
      </c>
      <c r="I11" s="1370">
        <f t="shared" si="2"/>
        <v>26.403459780463372</v>
      </c>
      <c r="J11" s="1423">
        <v>524.84955981999997</v>
      </c>
      <c r="K11" s="1423">
        <v>603.52951416999997</v>
      </c>
      <c r="L11" s="1370">
        <f t="shared" si="3"/>
        <v>14.990953670035223</v>
      </c>
      <c r="M11" s="1370">
        <f t="shared" si="0"/>
        <v>2.9120745175193887</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374" t="str">
        <f>IF(Indice_index!$Z$1=1,"Impostos indiretos","Indirect taxes")</f>
        <v>Impostos indiretos</v>
      </c>
      <c r="D12" s="1423">
        <v>479.79531152000004</v>
      </c>
      <c r="E12" s="1423">
        <v>505.86822031000003</v>
      </c>
      <c r="F12" s="1370">
        <f t="shared" si="1"/>
        <v>5.4341733159918864</v>
      </c>
      <c r="G12" s="1423">
        <v>585.5471210500001</v>
      </c>
      <c r="H12" s="1423">
        <v>647.63690006999991</v>
      </c>
      <c r="I12" s="1370">
        <f t="shared" si="2"/>
        <v>10.60372031351819</v>
      </c>
      <c r="J12" s="1424">
        <v>1065.3424325700003</v>
      </c>
      <c r="K12" s="1424">
        <v>1153.5051203799999</v>
      </c>
      <c r="L12" s="1370">
        <f t="shared" si="3"/>
        <v>8.2755257947736673</v>
      </c>
      <c r="M12" s="1370">
        <f t="shared" si="0"/>
        <v>3.2630460793793934</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796" t="str">
        <f>IF(Indice_index!$Z$1=1,"Contribuições para Segurança Social, CGA e ADSE","Social security, CGA and ADSE contributions")</f>
        <v>Contribuições para Segurança Social, CGA e ADSE</v>
      </c>
      <c r="D13" s="1423">
        <v>0</v>
      </c>
      <c r="E13" s="1423">
        <v>0</v>
      </c>
      <c r="F13" s="1370">
        <f t="shared" si="1"/>
        <v>0</v>
      </c>
      <c r="G13" s="1423">
        <v>0</v>
      </c>
      <c r="H13" s="1423">
        <v>0</v>
      </c>
      <c r="I13" s="1370">
        <f t="shared" si="2"/>
        <v>0</v>
      </c>
      <c r="J13" s="1423">
        <v>0</v>
      </c>
      <c r="K13" s="1423">
        <v>0</v>
      </c>
      <c r="L13" s="1370">
        <f t="shared" si="3"/>
        <v>0</v>
      </c>
      <c r="M13" s="1370">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422" t="str">
        <f>IF(Indice_index!$Z$1=1,"Transferências correntes","Current transfers")</f>
        <v>Transferências correntes</v>
      </c>
      <c r="D14" s="1423">
        <v>271.62057078999999</v>
      </c>
      <c r="E14" s="1423">
        <v>242.39472165999996</v>
      </c>
      <c r="F14" s="1370">
        <f t="shared" si="1"/>
        <v>-10.759806978167211</v>
      </c>
      <c r="G14" s="1423">
        <v>217.97652323999989</v>
      </c>
      <c r="H14" s="1423">
        <v>225.34681714999999</v>
      </c>
      <c r="I14" s="1370">
        <f t="shared" si="2"/>
        <v>3.3812328962991787</v>
      </c>
      <c r="J14" s="1423">
        <v>489.59709402999988</v>
      </c>
      <c r="K14" s="1423">
        <v>467.74153880999995</v>
      </c>
      <c r="L14" s="1370">
        <f t="shared" si="3"/>
        <v>-4.4639879375306784</v>
      </c>
      <c r="M14" s="1370">
        <f t="shared" si="0"/>
        <v>-0.80891004510858167</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374" t="str">
        <f>IF(Indice_index!$Z$1=1,"Administração Central","Central Administration")</f>
        <v>Administração Central</v>
      </c>
      <c r="D15" s="1423">
        <v>206.68074984000003</v>
      </c>
      <c r="E15" s="1423">
        <v>194.62545084999999</v>
      </c>
      <c r="F15" s="1370">
        <f t="shared" si="1"/>
        <v>-5.8328117153303038</v>
      </c>
      <c r="G15" s="1423">
        <v>186.94391752999999</v>
      </c>
      <c r="H15" s="1423">
        <v>174.94678306</v>
      </c>
      <c r="I15" s="1370">
        <f t="shared" si="2"/>
        <v>-6.4175045802571997</v>
      </c>
      <c r="J15" s="1423">
        <v>393.62466737</v>
      </c>
      <c r="K15" s="1423">
        <v>369.57223391000002</v>
      </c>
      <c r="L15" s="1370">
        <f t="shared" si="3"/>
        <v>-6.1104995326400946</v>
      </c>
      <c r="M15" s="1370">
        <f t="shared" si="0"/>
        <v>-0.89022012203539902</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425" t="str">
        <f>IF(Indice_index!$Z$1=1,"dos quais:","of which:")</f>
        <v>dos quais:</v>
      </c>
      <c r="D16" s="1423"/>
      <c r="E16" s="1423"/>
      <c r="F16" s="1370"/>
      <c r="G16" s="1423"/>
      <c r="H16" s="1423"/>
      <c r="I16" s="1370"/>
      <c r="J16" s="1423"/>
      <c r="K16" s="1423"/>
      <c r="L16" s="1370"/>
      <c r="M16" s="1370"/>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1376" t="str">
        <f>IF(Indice_index!$Z$1=1,"Transferências do OE","State Budget tranfers")</f>
        <v>Transferências do OE</v>
      </c>
      <c r="D17" s="1423">
        <v>204.86146017000002</v>
      </c>
      <c r="E17" s="1423">
        <v>191.50310160000004</v>
      </c>
      <c r="F17" s="1370">
        <f t="shared" si="1"/>
        <v>-6.5206791745576851</v>
      </c>
      <c r="G17" s="1423">
        <v>186.94364253000001</v>
      </c>
      <c r="H17" s="1423">
        <v>174.94543306</v>
      </c>
      <c r="I17" s="1370">
        <f t="shared" si="2"/>
        <v>-6.4180890602228313</v>
      </c>
      <c r="J17" s="1423">
        <v>391.80510270000002</v>
      </c>
      <c r="K17" s="1423">
        <v>366.44853466000006</v>
      </c>
      <c r="L17" s="1370">
        <f t="shared" si="3"/>
        <v>-6.4717299150172494</v>
      </c>
      <c r="M17" s="1370">
        <f>(K17-J17)/J15*100</f>
        <v>-6.4418137738723695</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374" t="str">
        <f>IF(Indice_index!$Z$1=1,"Outros subsectores das AP","Other General Government subsectors")</f>
        <v>Outros subsectores das AP</v>
      </c>
      <c r="D18" s="1423">
        <v>11.923195139999999</v>
      </c>
      <c r="E18" s="1423">
        <v>12.31504114</v>
      </c>
      <c r="F18" s="1370">
        <f t="shared" si="1"/>
        <v>3.2864177378547965</v>
      </c>
      <c r="G18" s="1423">
        <v>13.273322840000001</v>
      </c>
      <c r="H18" s="1423">
        <v>13.378528490000001</v>
      </c>
      <c r="I18" s="1370">
        <f t="shared" si="2"/>
        <v>0.79260974262568495</v>
      </c>
      <c r="J18" s="1423">
        <v>25.196517979999999</v>
      </c>
      <c r="K18" s="1423">
        <v>25.693569629999999</v>
      </c>
      <c r="L18" s="1370">
        <f t="shared" si="3"/>
        <v>1.9726997611119896</v>
      </c>
      <c r="M18" s="1370">
        <f t="shared" si="0"/>
        <v>1.8396699080646638E-2</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374" t="str">
        <f>IF(Indice_index!$Z$1=1,"União Europeia","European Union")</f>
        <v>União Europeia</v>
      </c>
      <c r="D19" s="1423">
        <v>38.477198680000001</v>
      </c>
      <c r="E19" s="1423">
        <v>19.640154580000001</v>
      </c>
      <c r="F19" s="1370">
        <f t="shared" si="1"/>
        <v>-48.956381301716945</v>
      </c>
      <c r="G19" s="1423">
        <v>17.521799129999998</v>
      </c>
      <c r="H19" s="1423">
        <v>36.849033939999991</v>
      </c>
      <c r="I19" s="1370">
        <f t="shared" si="2"/>
        <v>110.30394006120532</v>
      </c>
      <c r="J19" s="1423">
        <v>55.998997809999999</v>
      </c>
      <c r="K19" s="1423">
        <v>56.489188519999992</v>
      </c>
      <c r="L19" s="1370">
        <f t="shared" si="3"/>
        <v>0.8753562191651536</v>
      </c>
      <c r="M19" s="1370">
        <f t="shared" si="0"/>
        <v>1.8142764406874831E-2</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374" t="str">
        <f>IF(Indice_index!$Z$1=1,"Outras transferências","Other transfers")</f>
        <v>Outras transferências</v>
      </c>
      <c r="D20" s="1423">
        <v>14.539427129999957</v>
      </c>
      <c r="E20" s="1423">
        <v>15.814075089999967</v>
      </c>
      <c r="F20" s="1370">
        <f t="shared" si="1"/>
        <v>8.7668375693424849</v>
      </c>
      <c r="G20" s="1423">
        <v>0.23748373999990235</v>
      </c>
      <c r="H20" s="1423">
        <v>0.17247165999999936</v>
      </c>
      <c r="I20" s="1370">
        <f t="shared" si="2"/>
        <v>-27.375381573462555</v>
      </c>
      <c r="J20" s="1423">
        <v>14.77691086999986</v>
      </c>
      <c r="K20" s="1423">
        <v>15.986546749999967</v>
      </c>
      <c r="L20" s="1370">
        <f t="shared" si="3"/>
        <v>8.185986168840703</v>
      </c>
      <c r="M20" s="1370">
        <f t="shared" si="0"/>
        <v>4.4770613439297863E-2</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422" t="str">
        <f>IF(Indice_index!$Z$1=1,"Outras receitas correntes","Other current revenue")</f>
        <v>Outras receitas correntes</v>
      </c>
      <c r="D21" s="1423">
        <v>137.97011305000001</v>
      </c>
      <c r="E21" s="1423">
        <v>54.327800340000003</v>
      </c>
      <c r="F21" s="1370">
        <f t="shared" si="1"/>
        <v>-60.623500887970017</v>
      </c>
      <c r="G21" s="1423">
        <v>69.53707639000001</v>
      </c>
      <c r="H21" s="1423">
        <v>96.9259658</v>
      </c>
      <c r="I21" s="1423">
        <f t="shared" si="2"/>
        <v>39.387461814455477</v>
      </c>
      <c r="J21" s="1423">
        <v>207.50718944000002</v>
      </c>
      <c r="K21" s="1423">
        <v>151.25376614000001</v>
      </c>
      <c r="L21" s="1370">
        <f t="shared" si="3"/>
        <v>-27.109144243055489</v>
      </c>
      <c r="M21" s="1370">
        <f t="shared" si="0"/>
        <v>-2.082031717843281</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422" t="str">
        <f>IF(Indice_index!$Z$1=1,"Diferenças de consolidação","Consolidation differences")</f>
        <v>Diferenças de consolidação</v>
      </c>
      <c r="D22" s="1423">
        <v>0.76420338999992055</v>
      </c>
      <c r="E22" s="1423">
        <v>0</v>
      </c>
      <c r="F22" s="1370"/>
      <c r="G22" s="1423">
        <v>0</v>
      </c>
      <c r="H22" s="1423">
        <v>0</v>
      </c>
      <c r="I22" s="1426"/>
      <c r="J22" s="1423">
        <v>0</v>
      </c>
      <c r="K22" s="1423">
        <v>0</v>
      </c>
      <c r="L22" s="1370"/>
      <c r="M22" s="1370"/>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427" t="str">
        <f>IF(Indice_index!$Z$1=1,"Receita de capital","Capital revenue")</f>
        <v>Receita de capital</v>
      </c>
      <c r="D23" s="1428">
        <v>281.38844956000003</v>
      </c>
      <c r="E23" s="1428">
        <v>201.89740985000003</v>
      </c>
      <c r="F23" s="301">
        <f t="shared" si="1"/>
        <v>-28.249574506095797</v>
      </c>
      <c r="G23" s="1428">
        <v>133.16764397000003</v>
      </c>
      <c r="H23" s="1428">
        <v>100.36080627</v>
      </c>
      <c r="I23" s="301">
        <f t="shared" si="2"/>
        <v>-24.635742378524579</v>
      </c>
      <c r="J23" s="1428">
        <v>414.55609353000006</v>
      </c>
      <c r="K23" s="1428">
        <v>302.25821612000004</v>
      </c>
      <c r="L23" s="301">
        <f t="shared" si="3"/>
        <v>-27.088705042004978</v>
      </c>
      <c r="M23" s="301">
        <f>IFERROR((K23-J23)/$J$35*100,"-")</f>
        <v>-4.1563291422674444</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422" t="str">
        <f>IF(Indice_index!$Z$1=1,"Venda de Bens de Investimento","Sale of investment goods")</f>
        <v>Venda de Bens de Investimento</v>
      </c>
      <c r="D24" s="1423">
        <v>0.61001448000000014</v>
      </c>
      <c r="E24" s="1423">
        <v>0.28578964000000001</v>
      </c>
      <c r="F24" s="1370">
        <f t="shared" si="1"/>
        <v>-53.15035144739516</v>
      </c>
      <c r="G24" s="1423">
        <v>2.3632902500000004</v>
      </c>
      <c r="H24" s="1423">
        <v>4.769369489999999</v>
      </c>
      <c r="I24" s="1370">
        <f t="shared" si="2"/>
        <v>101.81056854950417</v>
      </c>
      <c r="J24" s="1423">
        <v>2.9733047300000006</v>
      </c>
      <c r="K24" s="1423">
        <v>5.0551591299999989</v>
      </c>
      <c r="L24" s="1370">
        <f t="shared" si="3"/>
        <v>70.01819823560426</v>
      </c>
      <c r="M24" s="1370">
        <f t="shared" ref="M24:M26" si="4">IFERROR((K24-J24)/$J$35*100,"-")</f>
        <v>7.7052855425628647E-2</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422" t="str">
        <f>IF(Indice_index!$Z$1=1,"Transferências de capital","Capital transfers")</f>
        <v>Transferências de capital</v>
      </c>
      <c r="D25" s="1423">
        <v>280.45625117000003</v>
      </c>
      <c r="E25" s="1423">
        <v>201.14971032000005</v>
      </c>
      <c r="F25" s="1370">
        <f t="shared" si="1"/>
        <v>-28.277686990092405</v>
      </c>
      <c r="G25" s="1423">
        <v>130.78327670000002</v>
      </c>
      <c r="H25" s="1423">
        <v>95.526350000000008</v>
      </c>
      <c r="I25" s="1370">
        <f t="shared" si="2"/>
        <v>-26.958283650343805</v>
      </c>
      <c r="J25" s="1423">
        <v>411.23952787000007</v>
      </c>
      <c r="K25" s="1423">
        <v>296.67606032000003</v>
      </c>
      <c r="L25" s="1370">
        <f t="shared" si="3"/>
        <v>-27.85808751006434</v>
      </c>
      <c r="M25" s="1370">
        <f t="shared" si="4"/>
        <v>-4.2401823596255621</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374" t="str">
        <f>IF(Indice_index!$Z$1=1,"Administração Central","Central Administration")</f>
        <v>Administração Central</v>
      </c>
      <c r="D26" s="1423">
        <v>108.74490551000001</v>
      </c>
      <c r="E26" s="1423">
        <v>99.822618000000006</v>
      </c>
      <c r="F26" s="1370">
        <f t="shared" si="1"/>
        <v>-8.2047866685391746</v>
      </c>
      <c r="G26" s="1423">
        <v>51.238722950000003</v>
      </c>
      <c r="H26" s="1423">
        <v>50.919161189999997</v>
      </c>
      <c r="I26" s="1370">
        <f t="shared" si="2"/>
        <v>-0.62367237433267497</v>
      </c>
      <c r="J26" s="1423">
        <v>159.98362846000001</v>
      </c>
      <c r="K26" s="1423">
        <v>150.74177918999999</v>
      </c>
      <c r="L26" s="1370">
        <f t="shared" si="3"/>
        <v>-5.7767468827666422</v>
      </c>
      <c r="M26" s="1370">
        <f t="shared" si="4"/>
        <v>-0.34205604179944743</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425" t="str">
        <f>IF(Indice_index!$Z$1=1,"dos quais:","of which:")</f>
        <v>dos quais:</v>
      </c>
      <c r="D27" s="1423"/>
      <c r="E27" s="1423"/>
      <c r="F27" s="1370"/>
      <c r="G27" s="1423"/>
      <c r="H27" s="1423"/>
      <c r="I27" s="1370"/>
      <c r="J27" s="1423"/>
      <c r="K27" s="1423"/>
      <c r="L27" s="1370"/>
      <c r="M27" s="1370"/>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1376" t="str">
        <f>IF(Indice_index!$Z$1=1,"Transferências do OE","State Budget tranfers")</f>
        <v>Transferências do OE</v>
      </c>
      <c r="D28" s="1423">
        <v>108.583393</v>
      </c>
      <c r="E28" s="1423">
        <v>99.769615000000002</v>
      </c>
      <c r="F28" s="1370">
        <f t="shared" si="1"/>
        <v>-8.1170589318386828</v>
      </c>
      <c r="G28" s="1423">
        <v>51.181361180000003</v>
      </c>
      <c r="H28" s="1423">
        <v>50.919161189999997</v>
      </c>
      <c r="I28" s="1370">
        <f t="shared" si="2"/>
        <v>-0.51229585137033329</v>
      </c>
      <c r="J28" s="1423">
        <v>159.76475418000001</v>
      </c>
      <c r="K28" s="1423">
        <v>150.68877619</v>
      </c>
      <c r="L28" s="1370">
        <f t="shared" si="3"/>
        <v>-5.6808387034943282</v>
      </c>
      <c r="M28" s="1370">
        <f>(K28-J28)/J26*100</f>
        <v>-5.6730667239924735</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374" t="str">
        <f>IF(Indice_index!$Z$1=1,"Outros subsectores das AP","Other General Government subsectors")</f>
        <v>Outros subsectores das AP</v>
      </c>
      <c r="D29" s="1423">
        <v>-1.4099832412739488E-14</v>
      </c>
      <c r="E29" s="1423">
        <v>3.4736102882959585E-14</v>
      </c>
      <c r="F29" s="1370">
        <f t="shared" si="1"/>
        <v>-346.35826771653541</v>
      </c>
      <c r="G29" s="1423">
        <v>-1.9970136655445003E-14</v>
      </c>
      <c r="H29" s="1423">
        <v>1.0071858711629966E-14</v>
      </c>
      <c r="I29" s="1370">
        <f t="shared" si="2"/>
        <v>-150.43460085128561</v>
      </c>
      <c r="J29" s="1423">
        <v>-3.4069969068184491E-14</v>
      </c>
      <c r="K29" s="1423">
        <v>4.4807961594589552E-14</v>
      </c>
      <c r="L29" s="1370">
        <f t="shared" si="3"/>
        <v>-231.51747072301427</v>
      </c>
      <c r="M29" s="1370">
        <f t="shared" ref="M29:M32" si="5">IFERROR((K29-J29)/$J$35*100,"-")</f>
        <v>2.9194019464720938E-15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374" t="str">
        <f>IF(Indice_index!$Z$1=1,"União Europeia","European Union")</f>
        <v>União Europeia</v>
      </c>
      <c r="D30" s="1423">
        <v>171.64584566000002</v>
      </c>
      <c r="E30" s="1423">
        <v>101.25142502000001</v>
      </c>
      <c r="F30" s="1370">
        <f t="shared" si="1"/>
        <v>-41.011432796013523</v>
      </c>
      <c r="G30" s="1423">
        <v>79.456350820000026</v>
      </c>
      <c r="H30" s="1423">
        <v>44.607123680000001</v>
      </c>
      <c r="I30" s="1370">
        <f t="shared" si="2"/>
        <v>-43.859586779850076</v>
      </c>
      <c r="J30" s="1423">
        <v>251.10219648000003</v>
      </c>
      <c r="K30" s="1423">
        <v>145.85854870000003</v>
      </c>
      <c r="L30" s="1370">
        <f t="shared" si="3"/>
        <v>-41.912675100148924</v>
      </c>
      <c r="M30" s="1370">
        <f t="shared" si="5"/>
        <v>-3.8952405013809464</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374" t="str">
        <f>IF(Indice_index!$Z$1=1,"Outras transferências","Other transfers")</f>
        <v>Outras transferências</v>
      </c>
      <c r="D31" s="1423">
        <v>6.5500000000000003E-2</v>
      </c>
      <c r="E31" s="1423">
        <v>7.5667300000000007E-2</v>
      </c>
      <c r="F31" s="1370">
        <f t="shared" si="1"/>
        <v>15.522595419847335</v>
      </c>
      <c r="G31" s="1423">
        <v>8.8202929999999999E-2</v>
      </c>
      <c r="H31" s="1423">
        <v>6.5129999999999995E-5</v>
      </c>
      <c r="I31" s="1370">
        <f t="shared" si="2"/>
        <v>-99.926158915582505</v>
      </c>
      <c r="J31" s="1423">
        <v>0.15370293000000002</v>
      </c>
      <c r="K31" s="1423">
        <v>7.5732430000000003E-2</v>
      </c>
      <c r="L31" s="1370">
        <f t="shared" si="3"/>
        <v>-50.728050532283284</v>
      </c>
      <c r="M31" s="1370">
        <f t="shared" si="5"/>
        <v>-2.885816445167339E-3</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422" t="str">
        <f>IF(Indice_index!$Z$1=1,"Outras receitas de capital","Other capital revenue")</f>
        <v>Outras receitas de capital</v>
      </c>
      <c r="D32" s="1423">
        <v>0.32218391000000002</v>
      </c>
      <c r="E32" s="1423">
        <v>0.46190988999999993</v>
      </c>
      <c r="F32" s="1370">
        <f t="shared" si="1"/>
        <v>43.368391674183826</v>
      </c>
      <c r="G32" s="1423">
        <v>2.1077020000000002E-2</v>
      </c>
      <c r="H32" s="1423">
        <v>4.8783569999999998E-2</v>
      </c>
      <c r="I32" s="1370">
        <f t="shared" si="2"/>
        <v>131.45382981085558</v>
      </c>
      <c r="J32" s="1423">
        <v>0.34326093000000002</v>
      </c>
      <c r="K32" s="1423">
        <v>0.51069345999999993</v>
      </c>
      <c r="L32" s="1370">
        <f t="shared" si="3"/>
        <v>48.777042583902549</v>
      </c>
      <c r="M32" s="1370">
        <f t="shared" si="5"/>
        <v>6.1969533160615041E-3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422" t="str">
        <f>IF(Indice_index!$Z$1=1,"Diferenças de consolidação","Consolidation differences")</f>
        <v>Diferenças de consolidação</v>
      </c>
      <c r="D33" s="1423">
        <v>0</v>
      </c>
      <c r="E33" s="1423">
        <v>0</v>
      </c>
      <c r="F33" s="1370"/>
      <c r="G33" s="1423">
        <v>0</v>
      </c>
      <c r="H33" s="1423">
        <v>1.6303209999989576E-2</v>
      </c>
      <c r="I33" s="1370"/>
      <c r="J33" s="1423">
        <v>0</v>
      </c>
      <c r="K33" s="1423">
        <v>1.6303209999989576E-2</v>
      </c>
      <c r="L33" s="1370"/>
      <c r="M33" s="1370"/>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127"/>
      <c r="D34" s="1429"/>
      <c r="E34" s="1429"/>
      <c r="F34" s="156"/>
      <c r="G34" s="1429"/>
      <c r="H34" s="1429"/>
      <c r="I34" s="156"/>
      <c r="J34" s="1429"/>
      <c r="K34" s="1429"/>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427" t="str">
        <f>IF(Indice_index!$Z$1=1,"Receita Efetiva","Effective revenue")</f>
        <v>Receita Efetiva</v>
      </c>
      <c r="D35" s="1430">
        <v>1407.6693802799998</v>
      </c>
      <c r="E35" s="1430">
        <v>1243.0670788899999</v>
      </c>
      <c r="F35" s="301">
        <f t="shared" si="1"/>
        <v>-11.693250112271306</v>
      </c>
      <c r="G35" s="1430">
        <v>1294.9471924999998</v>
      </c>
      <c r="H35" s="1430">
        <v>1435.2210767299998</v>
      </c>
      <c r="I35" s="301">
        <f t="shared" si="2"/>
        <v>10.832401895801635</v>
      </c>
      <c r="J35" s="1430">
        <v>2701.8523693899997</v>
      </c>
      <c r="K35" s="1430">
        <v>2678.28815562</v>
      </c>
      <c r="L35" s="301">
        <f t="shared" si="3"/>
        <v>-0.872150308320503</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127"/>
      <c r="D36" s="1429"/>
      <c r="E36" s="1429"/>
      <c r="F36" s="156"/>
      <c r="G36" s="1429"/>
      <c r="H36" s="1429"/>
      <c r="I36" s="156"/>
      <c r="J36" s="1429"/>
      <c r="K36" s="1429"/>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427" t="str">
        <f>IF(Indice_index!$Z$1=1,"Despesa Corrente","Current expenditure")</f>
        <v>Despesa Corrente</v>
      </c>
      <c r="D37" s="1428">
        <v>1203.7551048499997</v>
      </c>
      <c r="E37" s="1428">
        <v>1160.5099985100003</v>
      </c>
      <c r="F37" s="301">
        <f t="shared" si="1"/>
        <v>-3.5925169634390226</v>
      </c>
      <c r="G37" s="1428">
        <v>1335.6062365100001</v>
      </c>
      <c r="H37" s="1428">
        <v>1327.2467723</v>
      </c>
      <c r="I37" s="301">
        <f t="shared" si="2"/>
        <v>-0.62589287033009289</v>
      </c>
      <c r="J37" s="1428">
        <v>2538.5971379699995</v>
      </c>
      <c r="K37" s="1428">
        <v>2487.7567708100005</v>
      </c>
      <c r="L37" s="301">
        <f t="shared" si="3"/>
        <v>-2.0026953627094111</v>
      </c>
      <c r="M37" s="301">
        <f t="shared" ref="M37:M55" si="6">IFERROR((K37-J37)/$J$58*100,"-")</f>
        <v>-1.6637093951435717</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422" t="str">
        <f>IF(Indice_index!$Z$1=1,"Despesas com o pessoal","Employees")</f>
        <v>Despesas com o pessoal</v>
      </c>
      <c r="D38" s="1423">
        <v>585.87208313999997</v>
      </c>
      <c r="E38" s="1423">
        <v>618.93207996000001</v>
      </c>
      <c r="F38" s="1370">
        <f t="shared" si="1"/>
        <v>5.6428694541671858</v>
      </c>
      <c r="G38" s="1423">
        <v>673.07696137000016</v>
      </c>
      <c r="H38" s="1423">
        <v>686.56662814999981</v>
      </c>
      <c r="I38" s="1370">
        <f t="shared" si="2"/>
        <v>2.0041789504341967</v>
      </c>
      <c r="J38" s="1429">
        <v>1258.94904451</v>
      </c>
      <c r="K38" s="1429">
        <v>1305.4987081099998</v>
      </c>
      <c r="L38" s="1370">
        <f t="shared" si="3"/>
        <v>3.6975018014424528</v>
      </c>
      <c r="M38" s="1370">
        <f t="shared" si="6"/>
        <v>1.5232996337018179</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799" t="str">
        <f>IF(Indice_index!$Z$1=1,"Remunerações Certas e Permanentes","Certain and permanent wages")</f>
        <v>Remunerações Certas e Permanentes</v>
      </c>
      <c r="D39" s="1423">
        <v>427.34799029000004</v>
      </c>
      <c r="E39" s="1423">
        <v>452.01026072000008</v>
      </c>
      <c r="F39" s="1370">
        <f t="shared" si="1"/>
        <v>5.7710041910491077</v>
      </c>
      <c r="G39" s="1423">
        <v>480.45639841000008</v>
      </c>
      <c r="H39" s="1423">
        <v>498.11250966999995</v>
      </c>
      <c r="I39" s="1370">
        <f t="shared" si="2"/>
        <v>3.6748623430617604</v>
      </c>
      <c r="J39" s="1429">
        <v>907.80438870000012</v>
      </c>
      <c r="K39" s="1429">
        <v>950.12277039000003</v>
      </c>
      <c r="L39" s="1370">
        <f t="shared" si="3"/>
        <v>4.6616189805604433</v>
      </c>
      <c r="M39" s="1370">
        <f t="shared" si="6"/>
        <v>1.384834397111107</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799" t="str">
        <f>IF(Indice_index!$Z$1=1,"Abonos Variáveis ou Eventuais","Variable or contingent bonuses")</f>
        <v>Abonos Variáveis ou Eventuais</v>
      </c>
      <c r="D40" s="1423">
        <v>46.102350450000003</v>
      </c>
      <c r="E40" s="1423">
        <v>48.550185789999993</v>
      </c>
      <c r="F40" s="1370">
        <f t="shared" si="1"/>
        <v>5.3095673346520016</v>
      </c>
      <c r="G40" s="1423">
        <v>59.652533620000007</v>
      </c>
      <c r="H40" s="1423">
        <v>56.15438073</v>
      </c>
      <c r="I40" s="1370">
        <f t="shared" si="2"/>
        <v>-5.8642151099298223</v>
      </c>
      <c r="J40" s="1429">
        <v>105.75488407</v>
      </c>
      <c r="K40" s="1429">
        <v>104.70456651999999</v>
      </c>
      <c r="L40" s="1370">
        <f t="shared" si="3"/>
        <v>-0.99316221585076225</v>
      </c>
      <c r="M40" s="1370">
        <f t="shared" si="6"/>
        <v>-3.4370781987469033E-2</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799" t="str">
        <f>IF(Indice_index!$Z$1=1,"Segurança social","Social security")</f>
        <v>Segurança social</v>
      </c>
      <c r="D41" s="1423">
        <v>112.42174239999999</v>
      </c>
      <c r="E41" s="1423">
        <v>118.37163344999999</v>
      </c>
      <c r="F41" s="1370">
        <f t="shared" si="1"/>
        <v>5.292473611403488</v>
      </c>
      <c r="G41" s="1423">
        <v>132.96802933999999</v>
      </c>
      <c r="H41" s="1423">
        <v>132.29973774999996</v>
      </c>
      <c r="I41" s="1370">
        <f t="shared" si="2"/>
        <v>-0.50259569410568505</v>
      </c>
      <c r="J41" s="1429">
        <v>245.38977173999996</v>
      </c>
      <c r="K41" s="1429">
        <v>250.67137119999995</v>
      </c>
      <c r="L41" s="1370">
        <f t="shared" si="3"/>
        <v>2.1523307277843902</v>
      </c>
      <c r="M41" s="1370">
        <f t="shared" si="6"/>
        <v>0.17283601857818251</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422" t="str">
        <f>IF(Indice_index!$Z$1=1,"Aquisição de bens e serviços","Purchase of goods and services")</f>
        <v>Aquisição de bens e serviços</v>
      </c>
      <c r="D42" s="1423">
        <v>355.69325851999997</v>
      </c>
      <c r="E42" s="1423">
        <v>323.48268590999999</v>
      </c>
      <c r="F42" s="1370">
        <f t="shared" si="1"/>
        <v>-9.0557163619081766</v>
      </c>
      <c r="G42" s="1423">
        <v>382.70697751</v>
      </c>
      <c r="H42" s="1423">
        <v>342.67864113000002</v>
      </c>
      <c r="I42" s="1370">
        <f t="shared" si="2"/>
        <v>-10.459264850731408</v>
      </c>
      <c r="J42" s="1429">
        <v>738.40023602999997</v>
      </c>
      <c r="K42" s="1429">
        <v>666.16132704000006</v>
      </c>
      <c r="L42" s="1370">
        <f t="shared" si="3"/>
        <v>-9.7831643958284111</v>
      </c>
      <c r="M42" s="1370">
        <f t="shared" si="6"/>
        <v>-2.363959158740006</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422" t="str">
        <f>IF(Indice_index!$Z$1=1,"Juros e outros encargos","Interests and other charges")</f>
        <v>Juros e outros encargos</v>
      </c>
      <c r="D43" s="1423">
        <v>39.459613840000003</v>
      </c>
      <c r="E43" s="1423">
        <v>41.599096169999996</v>
      </c>
      <c r="F43" s="1370">
        <f t="shared" si="1"/>
        <v>5.4219545550423272</v>
      </c>
      <c r="G43" s="1423">
        <v>86.795143779999989</v>
      </c>
      <c r="H43" s="1423">
        <v>106.47965626999999</v>
      </c>
      <c r="I43" s="1370">
        <f t="shared" si="2"/>
        <v>22.67927862403733</v>
      </c>
      <c r="J43" s="1429">
        <v>126.25475761999999</v>
      </c>
      <c r="K43" s="1429">
        <v>148.07875243999999</v>
      </c>
      <c r="L43" s="1370">
        <f t="shared" si="3"/>
        <v>17.285681135031432</v>
      </c>
      <c r="M43" s="1370">
        <f t="shared" si="6"/>
        <v>0.71417236439956788</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422" t="str">
        <f>IF(Indice_index!$Z$1=1,"Transferências correntes","Current transfers")</f>
        <v>Transferências correntes</v>
      </c>
      <c r="D44" s="1423">
        <v>152.49987983999995</v>
      </c>
      <c r="E44" s="1423">
        <v>127.49597144000018</v>
      </c>
      <c r="F44" s="1370">
        <f t="shared" si="1"/>
        <v>-16.39601842718395</v>
      </c>
      <c r="G44" s="1423">
        <v>143.58953133999978</v>
      </c>
      <c r="H44" s="1423">
        <v>142.58423839000011</v>
      </c>
      <c r="I44" s="1370">
        <f t="shared" si="2"/>
        <v>-0.70011576792411057</v>
      </c>
      <c r="J44" s="1429">
        <v>296.08941117999973</v>
      </c>
      <c r="K44" s="1429">
        <v>270.08020983000029</v>
      </c>
      <c r="L44" s="1370">
        <f t="shared" si="3"/>
        <v>-8.7842389386183886</v>
      </c>
      <c r="M44" s="1370">
        <f t="shared" si="6"/>
        <v>-0.85112982189910269</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374" t="str">
        <f>IF(Indice_index!$Z$1=1,"Administrações Públicas","General Government")</f>
        <v>Administrações Públicas</v>
      </c>
      <c r="D45" s="1423">
        <v>3.8487713599999722</v>
      </c>
      <c r="E45" s="1423">
        <v>4.2228774800001929</v>
      </c>
      <c r="F45" s="1370">
        <f t="shared" si="1"/>
        <v>9.720144040986197</v>
      </c>
      <c r="G45" s="1423">
        <v>2.221133619999847</v>
      </c>
      <c r="H45" s="1423">
        <v>2.0992763400001024</v>
      </c>
      <c r="I45" s="1370">
        <f t="shared" si="2"/>
        <v>-5.4862651621901524</v>
      </c>
      <c r="J45" s="1429">
        <v>6.0699049799998193</v>
      </c>
      <c r="K45" s="1429">
        <v>6.3221538200002954</v>
      </c>
      <c r="L45" s="1370">
        <f t="shared" si="3"/>
        <v>4.1557296338514282</v>
      </c>
      <c r="M45" s="1370">
        <f t="shared" si="6"/>
        <v>8.2546367869871188E-3</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374" t="str">
        <f>IF(Indice_index!$Z$1=1,"Outras transferências","Other transfers")</f>
        <v>Outras transferências</v>
      </c>
      <c r="D46" s="1423">
        <v>148.65110847999998</v>
      </c>
      <c r="E46" s="1423">
        <v>123.27309395999998</v>
      </c>
      <c r="F46" s="1370">
        <f t="shared" si="1"/>
        <v>-17.072199985252336</v>
      </c>
      <c r="G46" s="1423">
        <v>141.36839771999993</v>
      </c>
      <c r="H46" s="1423">
        <v>140.48496205000001</v>
      </c>
      <c r="I46" s="1370">
        <f t="shared" si="2"/>
        <v>-0.62491736784744156</v>
      </c>
      <c r="J46" s="1429">
        <v>290.01950619999991</v>
      </c>
      <c r="K46" s="1429">
        <v>263.75805601000002</v>
      </c>
      <c r="L46" s="1370">
        <f t="shared" si="3"/>
        <v>-9.0550634107658166</v>
      </c>
      <c r="M46" s="1370">
        <f t="shared" si="6"/>
        <v>-0.85938445868608893</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422" t="str">
        <f>IF(Indice_index!$Z$1=1,"Subsídios","Subsidies")</f>
        <v>Subsídios</v>
      </c>
      <c r="D47" s="1423">
        <v>54.426853219999998</v>
      </c>
      <c r="E47" s="1423">
        <v>32.393896889999994</v>
      </c>
      <c r="F47" s="1370">
        <f t="shared" si="1"/>
        <v>-40.481775128428062</v>
      </c>
      <c r="G47" s="1423">
        <v>39.95725534000001</v>
      </c>
      <c r="H47" s="1423">
        <v>35.776522920000005</v>
      </c>
      <c r="I47" s="1370">
        <f t="shared" si="2"/>
        <v>-10.463011997259979</v>
      </c>
      <c r="J47" s="1429">
        <v>94.384108560000016</v>
      </c>
      <c r="K47" s="1429">
        <v>68.170419809999999</v>
      </c>
      <c r="L47" s="1370">
        <f t="shared" si="3"/>
        <v>-27.773413501422183</v>
      </c>
      <c r="M47" s="1370">
        <f t="shared" si="6"/>
        <v>-0.85782150466171481</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422" t="str">
        <f>IF(Indice_index!$Z$1=1,"Outras despesas correntes","Other current expenditure")</f>
        <v>Outras despesas correntes</v>
      </c>
      <c r="D48" s="1423">
        <v>15.803416290000001</v>
      </c>
      <c r="E48" s="1423">
        <v>16.606268140000001</v>
      </c>
      <c r="F48" s="1370">
        <f t="shared" si="1"/>
        <v>5.0802423682784577</v>
      </c>
      <c r="G48" s="1423">
        <v>2.75003574</v>
      </c>
      <c r="H48" s="1423">
        <v>3.6337937</v>
      </c>
      <c r="I48" s="1370">
        <f t="shared" si="2"/>
        <v>32.136235436707459</v>
      </c>
      <c r="J48" s="1429">
        <v>18.553452030000003</v>
      </c>
      <c r="K48" s="1429">
        <v>20.240061840000003</v>
      </c>
      <c r="L48" s="1370">
        <f t="shared" si="3"/>
        <v>9.0905444834354086</v>
      </c>
      <c r="M48" s="1370">
        <f t="shared" si="6"/>
        <v>5.519292529905423E-2</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422" t="str">
        <f>IF(Indice_index!$Z$1=1,"Diferenças de consolidação","Consolidation differences")</f>
        <v>Diferenças de consolidação</v>
      </c>
      <c r="D49" s="1423">
        <v>0</v>
      </c>
      <c r="E49" s="1423">
        <v>0</v>
      </c>
      <c r="F49" s="1370"/>
      <c r="G49" s="1423">
        <v>6.7303314299999784</v>
      </c>
      <c r="H49" s="1423">
        <v>9.527291739999896</v>
      </c>
      <c r="I49" s="1370"/>
      <c r="J49" s="1423">
        <v>5.9661280399998304</v>
      </c>
      <c r="K49" s="1423">
        <v>9.5272917400000097</v>
      </c>
      <c r="L49" s="1423"/>
      <c r="M49" s="964">
        <f t="shared" si="6"/>
        <v>0.11653616675679919</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427" t="str">
        <f>IF(Indice_index!$Z$1=1,"Despesa de Capital","Capital expenditure")</f>
        <v>Despesa de Capital</v>
      </c>
      <c r="D50" s="1428">
        <v>295.87026543000002</v>
      </c>
      <c r="E50" s="1428">
        <v>230.75771850999999</v>
      </c>
      <c r="F50" s="301">
        <f t="shared" si="1"/>
        <v>-22.007127625809026</v>
      </c>
      <c r="G50" s="1428">
        <v>221.37680283</v>
      </c>
      <c r="H50" s="1428">
        <v>237.19842131000001</v>
      </c>
      <c r="I50" s="301">
        <f t="shared" si="2"/>
        <v>7.1469179596697723</v>
      </c>
      <c r="J50" s="1428">
        <v>517.24706826000011</v>
      </c>
      <c r="K50" s="1428">
        <v>467.95613981999998</v>
      </c>
      <c r="L50" s="301">
        <f t="shared" si="3"/>
        <v>-9.529474687176668</v>
      </c>
      <c r="M50" s="301">
        <f t="shared" si="6"/>
        <v>-1.6130052814704987</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422" t="str">
        <f>IF(Indice_index!$Z$1=1,"Aquisição de bens de capital","Purchase of capital goods")</f>
        <v>Aquisição de bens de capital</v>
      </c>
      <c r="D51" s="1423">
        <v>59.187519789999989</v>
      </c>
      <c r="E51" s="1423">
        <v>65.589418199999997</v>
      </c>
      <c r="F51" s="1370">
        <f t="shared" si="1"/>
        <v>10.816297815340523</v>
      </c>
      <c r="G51" s="1423">
        <v>139.16342437</v>
      </c>
      <c r="H51" s="1423">
        <v>137.94771839000001</v>
      </c>
      <c r="I51" s="1370">
        <f t="shared" si="2"/>
        <v>-0.87358153588384257</v>
      </c>
      <c r="J51" s="1429">
        <v>198.35094415999998</v>
      </c>
      <c r="K51" s="1429">
        <v>203.53713658999999</v>
      </c>
      <c r="L51" s="1370">
        <f t="shared" si="3"/>
        <v>2.6146547736201136</v>
      </c>
      <c r="M51" s="1370">
        <f t="shared" si="6"/>
        <v>0.16971390162583649</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422" t="str">
        <f>IF(Indice_index!$Z$1=1,"Transferências de capital","Capital transfers")</f>
        <v>Transferências de capital</v>
      </c>
      <c r="D52" s="1423">
        <v>228.39082614</v>
      </c>
      <c r="E52" s="1423">
        <v>165.05930030999997</v>
      </c>
      <c r="F52" s="1370">
        <f t="shared" si="1"/>
        <v>-27.729452579316298</v>
      </c>
      <c r="G52" s="1423">
        <v>82.132731199999995</v>
      </c>
      <c r="H52" s="1423">
        <v>98.971419260000005</v>
      </c>
      <c r="I52" s="1370">
        <f t="shared" si="2"/>
        <v>20.501799725856447</v>
      </c>
      <c r="J52" s="1429">
        <v>310.52355734000002</v>
      </c>
      <c r="K52" s="1429">
        <v>264.03071956999997</v>
      </c>
      <c r="L52" s="1370">
        <f t="shared" si="3"/>
        <v>-14.972402792324665</v>
      </c>
      <c r="M52" s="1370">
        <f t="shared" si="6"/>
        <v>-1.5214400549352072</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374" t="str">
        <f>IF(Indice_index!$Z$1=1,"Administrações Públicas","General Government")</f>
        <v>Administrações Públicas</v>
      </c>
      <c r="D53" s="1423">
        <v>11.149056450000018</v>
      </c>
      <c r="E53" s="1423">
        <v>9.777295649999985</v>
      </c>
      <c r="F53" s="1370">
        <f t="shared" si="1"/>
        <v>-12.303828634754382</v>
      </c>
      <c r="G53" s="1423">
        <v>9.4927307499999927</v>
      </c>
      <c r="H53" s="1423">
        <v>8.8781334399999707</v>
      </c>
      <c r="I53" s="1370">
        <f t="shared" si="2"/>
        <v>-6.4743994766734785</v>
      </c>
      <c r="J53" s="1429">
        <v>20.64178720000001</v>
      </c>
      <c r="K53" s="1429">
        <v>18.655429089999956</v>
      </c>
      <c r="L53" s="1370">
        <f t="shared" si="3"/>
        <v>-9.6229948054112953</v>
      </c>
      <c r="M53" s="1370">
        <f t="shared" si="6"/>
        <v>-6.5001943029374135E-2</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374" t="str">
        <f>IF(Indice_index!$Z$1=1,"Outras transferências","Other transfers")</f>
        <v>Outras transferências</v>
      </c>
      <c r="D54" s="1423">
        <v>217.24176968999998</v>
      </c>
      <c r="E54" s="1423">
        <v>155.28200465999998</v>
      </c>
      <c r="F54" s="1370">
        <f t="shared" si="1"/>
        <v>-28.5211104284482</v>
      </c>
      <c r="G54" s="1423">
        <v>72.640000450000002</v>
      </c>
      <c r="H54" s="1423">
        <v>90.093285820000034</v>
      </c>
      <c r="I54" s="1370">
        <f t="shared" si="2"/>
        <v>24.027099754788107</v>
      </c>
      <c r="J54" s="1429">
        <v>289.88177013999996</v>
      </c>
      <c r="K54" s="1429">
        <v>245.37529048000002</v>
      </c>
      <c r="L54" s="1370">
        <f t="shared" si="3"/>
        <v>-15.353321334592824</v>
      </c>
      <c r="M54" s="1370">
        <f t="shared" si="6"/>
        <v>-1.4564381119058312</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422" t="str">
        <f>IF(Indice_index!$Z$1=1,"Outras despesas de capital","Other capital expenditure")</f>
        <v>Outras despesas de capital</v>
      </c>
      <c r="D55" s="1423">
        <v>0.10390000000000001</v>
      </c>
      <c r="E55" s="1423">
        <v>0.109</v>
      </c>
      <c r="F55" s="1370">
        <f t="shared" si="1"/>
        <v>4.908565928777664</v>
      </c>
      <c r="G55" s="1423">
        <v>0</v>
      </c>
      <c r="H55" s="1423">
        <v>0.27928366000000004</v>
      </c>
      <c r="I55" s="1370">
        <f t="shared" si="2"/>
        <v>0</v>
      </c>
      <c r="J55" s="1429">
        <v>0.10390000000000001</v>
      </c>
      <c r="K55" s="1429">
        <v>0.38828366000000003</v>
      </c>
      <c r="L55" s="1370">
        <f t="shared" si="3"/>
        <v>273.70900866217517</v>
      </c>
      <c r="M55" s="1370">
        <f t="shared" si="6"/>
        <v>9.3062224644902512E-3</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422" t="str">
        <f>IF(Indice_index!$Z$1=1,"Diferenças de consolidação","Consolidation differences")</f>
        <v>Diferenças de consolidação</v>
      </c>
      <c r="D56" s="1423">
        <v>8.18801950000001</v>
      </c>
      <c r="E56" s="1423">
        <v>0</v>
      </c>
      <c r="F56" s="1370"/>
      <c r="G56" s="1423">
        <v>8.0647260000013432E-2</v>
      </c>
      <c r="H56" s="1423">
        <v>0</v>
      </c>
      <c r="I56" s="1370"/>
      <c r="J56" s="1423">
        <v>8.2686667600000305</v>
      </c>
      <c r="K56" s="1423">
        <v>0</v>
      </c>
      <c r="L56" s="1370"/>
      <c r="M56" s="964"/>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127"/>
      <c r="D57" s="1429"/>
      <c r="E57" s="1429"/>
      <c r="F57" s="156"/>
      <c r="G57" s="1429"/>
      <c r="H57" s="1429"/>
      <c r="I57" s="156"/>
      <c r="J57" s="1429"/>
      <c r="K57" s="1429"/>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427" t="str">
        <f>IF(Indice_index!$Z$1=1,"Despesa efetiva","Effective expenditure")</f>
        <v>Despesa efetiva</v>
      </c>
      <c r="D58" s="1430">
        <v>1499.6253702799997</v>
      </c>
      <c r="E58" s="1430">
        <v>1391.2677170200002</v>
      </c>
      <c r="F58" s="301">
        <f t="shared" si="1"/>
        <v>-7.2256481790360576</v>
      </c>
      <c r="G58" s="1430">
        <v>1556.9830393400002</v>
      </c>
      <c r="H58" s="1430">
        <v>1564.4451936099999</v>
      </c>
      <c r="I58" s="301">
        <f t="shared" si="2"/>
        <v>0.47927010644655976</v>
      </c>
      <c r="J58" s="1430">
        <v>3055.8442062299996</v>
      </c>
      <c r="K58" s="1430">
        <v>2955.7129106300004</v>
      </c>
      <c r="L58" s="301">
        <f t="shared" si="3"/>
        <v>-3.2767146766140738</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431"/>
      <c r="D59" s="1423"/>
      <c r="E59" s="1423"/>
      <c r="F59" s="1432"/>
      <c r="G59" s="1423"/>
      <c r="H59" s="1423"/>
      <c r="I59" s="1432"/>
      <c r="J59" s="1423"/>
      <c r="K59" s="1423"/>
      <c r="L59" s="1432"/>
      <c r="M59" s="1433"/>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434" t="str">
        <f>IF(Indice_index!$Z$1=1,"Saldo global","Overall balance")</f>
        <v>Saldo global</v>
      </c>
      <c r="D60" s="1435">
        <v>-91.955989999999929</v>
      </c>
      <c r="E60" s="1435">
        <v>-148.20063813000024</v>
      </c>
      <c r="F60" s="1386"/>
      <c r="G60" s="1435">
        <v>-262.03584684000043</v>
      </c>
      <c r="H60" s="1435">
        <v>-129.22411688000011</v>
      </c>
      <c r="I60" s="1386"/>
      <c r="J60" s="1435">
        <v>-353.99183683999991</v>
      </c>
      <c r="K60" s="1435">
        <v>-277.42475501000035</v>
      </c>
      <c r="L60" s="1386"/>
      <c r="M60" s="1386"/>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436"/>
      <c r="D61" s="1429"/>
      <c r="E61" s="1429"/>
      <c r="F61" s="1437"/>
      <c r="G61" s="1429"/>
      <c r="H61" s="1429"/>
      <c r="I61" s="1437"/>
      <c r="J61" s="1429"/>
      <c r="K61" s="1429"/>
      <c r="L61" s="1437"/>
      <c r="M61" s="1438"/>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422" t="str">
        <f>IF(Indice_index!$Z$1=1,"Despesa  primária","Primary Expenditure")</f>
        <v>Despesa  primária</v>
      </c>
      <c r="D62" s="1429">
        <v>1460.1657564399998</v>
      </c>
      <c r="E62" s="1429">
        <v>1349.6686208500003</v>
      </c>
      <c r="F62" s="1370">
        <f t="shared" ref="F62" si="7">IFERROR(IF(ABS((E62-D62)/D62)*100&gt;500,"n.r",((E62-D62)/D62)*100),0)</f>
        <v>-7.5674378133206144</v>
      </c>
      <c r="G62" s="1429">
        <v>1470.1878955600002</v>
      </c>
      <c r="H62" s="1429">
        <v>1457.9655373399999</v>
      </c>
      <c r="I62" s="1370">
        <f t="shared" ref="I62" si="8">IFERROR(IF(ABS((H62-G62)/G62)*100&gt;500,"n.r",((H62-G62)/G62)*100),0)</f>
        <v>-0.8313466773132997</v>
      </c>
      <c r="J62" s="1423">
        <v>2930.3536519999998</v>
      </c>
      <c r="K62" s="1423">
        <v>2807.6341581900001</v>
      </c>
      <c r="L62" s="1370">
        <f t="shared" ref="L62" si="9">IFERROR(IF(ABS((K62-J62)/J62)*100&gt;500,"n.r",((K62-J62)/J62)*100),0)</f>
        <v>-4.1878731506090476</v>
      </c>
      <c r="M62" s="1370"/>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439" t="str">
        <f>IF(Indice_index!$Z$1=1,"Saldo primário","Primary balance")</f>
        <v>Saldo primário</v>
      </c>
      <c r="D63" s="1429">
        <v>-52.496376159999926</v>
      </c>
      <c r="E63" s="1429">
        <v>-106.60154196000025</v>
      </c>
      <c r="F63" s="1370"/>
      <c r="G63" s="1429">
        <v>-175.24070306000044</v>
      </c>
      <c r="H63" s="1429">
        <v>-22.744460610000118</v>
      </c>
      <c r="I63" s="1370"/>
      <c r="J63" s="1423">
        <v>-227.73707922000037</v>
      </c>
      <c r="K63" s="1423">
        <v>-129.34600257000037</v>
      </c>
      <c r="L63" s="1370"/>
      <c r="M63" s="1440"/>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439" t="str">
        <f>IF(Indice_index!$Z$1=1,"Saldo corrente","Current balance")</f>
        <v>Saldo corrente</v>
      </c>
      <c r="D64" s="1429">
        <v>-77.474174129999938</v>
      </c>
      <c r="E64" s="1429">
        <v>-119.34032947000037</v>
      </c>
      <c r="F64" s="1370"/>
      <c r="G64" s="1429">
        <v>-173.82668798000032</v>
      </c>
      <c r="H64" s="1429">
        <v>7.6134981599998355</v>
      </c>
      <c r="I64" s="1370"/>
      <c r="J64" s="1423">
        <v>-251.30086211000025</v>
      </c>
      <c r="K64" s="1423">
        <v>-111.72683131000053</v>
      </c>
      <c r="L64" s="1370"/>
      <c r="M64" s="1440"/>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439" t="str">
        <f>IF(Indice_index!$Z$1=1,"Saldo de capital","Capital balance")</f>
        <v>Saldo de capital</v>
      </c>
      <c r="D65" s="1429">
        <v>-14.481815869999991</v>
      </c>
      <c r="E65" s="1429">
        <v>-28.860308659999959</v>
      </c>
      <c r="F65" s="1370"/>
      <c r="G65" s="1429">
        <v>-88.209158859999974</v>
      </c>
      <c r="H65" s="1429">
        <v>-136.83761504</v>
      </c>
      <c r="I65" s="1370"/>
      <c r="J65" s="1423">
        <v>-102.69097472999997</v>
      </c>
      <c r="K65" s="1423">
        <v>-165.69792369999996</v>
      </c>
      <c r="L65" s="1370"/>
      <c r="M65" s="1440"/>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431" t="str">
        <f>IF(Indice_index!$Z$1=1,"Activos financeiros líquidos de reembolsos","Financial assets net of reimbursements")</f>
        <v>Activos financeiros líquidos de reembolsos</v>
      </c>
      <c r="D66" s="1429">
        <v>85.81332888</v>
      </c>
      <c r="E66" s="1429">
        <v>60.838419040000005</v>
      </c>
      <c r="F66" s="1370"/>
      <c r="G66" s="1429">
        <v>46.103280349999991</v>
      </c>
      <c r="H66" s="1429">
        <v>50.409802279999994</v>
      </c>
      <c r="I66" s="1370"/>
      <c r="J66" s="1429">
        <v>131.91660923000001</v>
      </c>
      <c r="K66" s="1429">
        <v>111.24822132</v>
      </c>
      <c r="L66" s="1370"/>
      <c r="M66" s="1440"/>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441" t="str">
        <f>IF(Indice_index!$Z$1=1,"dos quais Receitas de:","of which Revenues of")</f>
        <v>dos quais Receitas de:</v>
      </c>
      <c r="D67" s="1442"/>
      <c r="E67" s="1442"/>
      <c r="F67" s="1370"/>
      <c r="G67" s="1442"/>
      <c r="H67" s="1442"/>
      <c r="I67" s="1370"/>
      <c r="J67" s="1442"/>
      <c r="K67" s="1442"/>
      <c r="L67" s="1370"/>
      <c r="M67" s="1440"/>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443" t="str">
        <f>IF(Indice_index!$Z$1=1,"Alienação de partes de Capital","Divestment of company shares")</f>
        <v>Alienação de partes de Capital</v>
      </c>
      <c r="D68" s="1429">
        <v>0</v>
      </c>
      <c r="E68" s="1429">
        <v>0</v>
      </c>
      <c r="F68" s="1370"/>
      <c r="G68" s="1429">
        <v>0</v>
      </c>
      <c r="H68" s="1429">
        <v>0</v>
      </c>
      <c r="I68" s="1370"/>
      <c r="J68" s="1429">
        <v>0</v>
      </c>
      <c r="K68" s="1429">
        <v>0</v>
      </c>
      <c r="L68" s="1370"/>
      <c r="M68" s="1440"/>
      <c r="N68" s="385"/>
      <c r="Q68" s="144"/>
      <c r="R68" s="145"/>
      <c r="S68" s="146"/>
      <c r="T68" s="146"/>
      <c r="U68" s="146"/>
      <c r="V68" s="138"/>
      <c r="W68" s="138"/>
      <c r="X68" s="147"/>
      <c r="Y68" s="147"/>
      <c r="Z68" s="147"/>
      <c r="AA68" s="147"/>
      <c r="AB68" s="147"/>
      <c r="AC68" s="147"/>
      <c r="AD68" s="147"/>
      <c r="AE68" s="147"/>
      <c r="AF68" s="147"/>
      <c r="AG68" s="147"/>
    </row>
    <row r="69" spans="2:33" ht="15" customHeight="1">
      <c r="C69" s="1444" t="str">
        <f>IF(Indice_index!$Z$1=1,"Outros Ativos","Other Financial assets")</f>
        <v>Outros Ativos</v>
      </c>
      <c r="D69" s="1429">
        <v>0.70389986999999998</v>
      </c>
      <c r="E69" s="1429">
        <v>1.1832476700000001</v>
      </c>
      <c r="F69" s="1370"/>
      <c r="G69" s="1429">
        <v>6.9214943500000032</v>
      </c>
      <c r="H69" s="1429">
        <v>6.8731853199999975</v>
      </c>
      <c r="I69" s="1370"/>
      <c r="J69" s="1429">
        <v>7.6253942200000031</v>
      </c>
      <c r="K69" s="1429">
        <v>8.0564329899999976</v>
      </c>
      <c r="L69" s="1370"/>
      <c r="M69" s="1440"/>
      <c r="N69" s="385"/>
      <c r="Q69" s="144"/>
      <c r="R69" s="145"/>
      <c r="S69" s="146"/>
      <c r="T69" s="146"/>
      <c r="U69" s="146"/>
      <c r="V69" s="138"/>
      <c r="W69" s="138"/>
      <c r="X69" s="147"/>
      <c r="Y69" s="147"/>
      <c r="Z69" s="147"/>
      <c r="AA69" s="147"/>
      <c r="AB69" s="147"/>
      <c r="AC69" s="147"/>
      <c r="AD69" s="147"/>
      <c r="AE69" s="147"/>
      <c r="AF69" s="147"/>
      <c r="AG69" s="147"/>
    </row>
    <row r="70" spans="2:33" ht="15" customHeight="1">
      <c r="C70" s="1127" t="str">
        <f>IF(Indice_index!$Z$1=1,"Passivos financeiros líquidos de amortizações","Financial liabilities net of amortizations")</f>
        <v>Passivos financeiros líquidos de amortizações</v>
      </c>
      <c r="D70" s="1423">
        <v>187.39263381999999</v>
      </c>
      <c r="E70" s="1423">
        <v>207.12729788999999</v>
      </c>
      <c r="F70" s="1370"/>
      <c r="G70" s="1423">
        <v>-1.766153999999915</v>
      </c>
      <c r="H70" s="1423">
        <v>-32.811807189999968</v>
      </c>
      <c r="I70" s="1370"/>
      <c r="J70" s="1423">
        <v>185.62647982000007</v>
      </c>
      <c r="K70" s="1423">
        <v>174.31549070000003</v>
      </c>
      <c r="L70" s="1370"/>
      <c r="M70" s="1440"/>
      <c r="N70" s="385"/>
      <c r="Q70" s="144"/>
      <c r="R70" s="145"/>
      <c r="S70" s="146"/>
      <c r="T70" s="146"/>
      <c r="U70" s="146"/>
      <c r="V70" s="138"/>
      <c r="W70" s="138"/>
      <c r="X70" s="147"/>
      <c r="Y70" s="147"/>
      <c r="Z70" s="147"/>
      <c r="AA70" s="147"/>
      <c r="AB70" s="147"/>
      <c r="AC70" s="147"/>
      <c r="AD70" s="147"/>
      <c r="AE70" s="147"/>
      <c r="AF70" s="147"/>
      <c r="AG70" s="147"/>
    </row>
    <row r="71" spans="2:33" ht="15" customHeight="1">
      <c r="C71" s="1445" t="str">
        <f>IF(Indice_index!$Z$1=1,"Poupança (+) / Utilização (-) de saldo da gerência anterior","Saving (+) / Usage (-) of balance from previous management")</f>
        <v>Poupança (+) / Utilização (-) de saldo da gerência anterior</v>
      </c>
      <c r="D71" s="1446">
        <v>9.623314940000057</v>
      </c>
      <c r="E71" s="1446">
        <v>-1.9117592800002683</v>
      </c>
      <c r="F71" s="1446"/>
      <c r="G71" s="1446">
        <v>-309.90528119000032</v>
      </c>
      <c r="H71" s="1446">
        <v>-212.44572635000009</v>
      </c>
      <c r="I71" s="1446"/>
      <c r="J71" s="1446">
        <v>-300.28196625000027</v>
      </c>
      <c r="K71" s="1446">
        <v>-214.35748563000035</v>
      </c>
      <c r="L71" s="1446"/>
      <c r="M71" s="1447"/>
      <c r="N71" s="385"/>
      <c r="Q71" s="144"/>
      <c r="R71" s="145"/>
      <c r="S71" s="146"/>
      <c r="T71" s="146"/>
      <c r="U71" s="146"/>
      <c r="V71" s="138"/>
      <c r="W71" s="138"/>
      <c r="X71" s="147"/>
      <c r="Y71" s="147"/>
      <c r="Z71" s="147"/>
      <c r="AA71" s="147"/>
      <c r="AB71" s="147"/>
      <c r="AC71" s="147"/>
      <c r="AD71" s="147"/>
      <c r="AE71" s="147"/>
      <c r="AF71" s="147"/>
      <c r="AG71" s="147"/>
    </row>
    <row r="72" spans="2:33" ht="4.5" customHeight="1">
      <c r="C72" s="1448"/>
      <c r="E72" s="166"/>
      <c r="F72" s="166"/>
      <c r="G72" s="166"/>
      <c r="H72" s="166"/>
      <c r="I72" s="166"/>
      <c r="J72" s="166"/>
      <c r="K72" s="415"/>
      <c r="L72" s="415"/>
      <c r="M72" s="96"/>
      <c r="N72" s="383"/>
      <c r="Q72" s="144"/>
      <c r="R72" s="145"/>
      <c r="S72" s="146"/>
      <c r="T72" s="146"/>
      <c r="U72" s="146"/>
      <c r="V72" s="138"/>
      <c r="W72" s="138"/>
      <c r="X72" s="147"/>
      <c r="Y72" s="147"/>
      <c r="Z72" s="147"/>
      <c r="AA72" s="147"/>
      <c r="AB72" s="147"/>
      <c r="AC72" s="147"/>
      <c r="AD72" s="147"/>
      <c r="AE72" s="147"/>
      <c r="AF72" s="147"/>
      <c r="AG72" s="147"/>
    </row>
    <row r="73" spans="2:33">
      <c r="C73" s="1449" t="s">
        <v>62</v>
      </c>
      <c r="D73" s="166"/>
      <c r="E73" s="166"/>
      <c r="F73" s="166"/>
      <c r="G73" s="166"/>
      <c r="I73" s="166"/>
      <c r="J73" s="166"/>
      <c r="K73" s="415"/>
      <c r="L73" s="415"/>
      <c r="M73" s="96"/>
      <c r="N73" s="383"/>
      <c r="Q73" s="144"/>
      <c r="R73" s="145"/>
      <c r="S73" s="146"/>
      <c r="T73" s="146"/>
      <c r="U73" s="146"/>
      <c r="V73" s="138"/>
      <c r="W73" s="138"/>
      <c r="X73" s="147"/>
      <c r="Y73" s="147"/>
      <c r="Z73" s="147"/>
      <c r="AA73" s="147"/>
      <c r="AB73" s="147"/>
      <c r="AC73" s="147"/>
      <c r="AD73" s="147"/>
      <c r="AE73" s="147"/>
      <c r="AF73" s="147"/>
      <c r="AG73" s="147"/>
    </row>
    <row r="74" spans="2:33">
      <c r="C74" s="1431" t="str">
        <f>IF(Indice_index!$Z$1=1,"2021: Contas de gerência da RAA e da RAM; 2022: execução orçamental de dezembro.","2021: Azores Autonomous Region Budget and Treasury Regional Directorate (RAA) and Madeira Autonomous Region (RAM) final accounts; 2022: December budget execution.")</f>
        <v>2021: Contas de gerência da RAA e da RAM; 2022: execução orçamental de dezembro.</v>
      </c>
      <c r="D74" s="166"/>
      <c r="E74" s="166"/>
      <c r="F74" s="166"/>
      <c r="G74" s="166"/>
      <c r="I74" s="166"/>
      <c r="J74" s="166"/>
      <c r="K74" s="415"/>
      <c r="L74" s="415"/>
      <c r="M74" s="96"/>
      <c r="N74" s="383"/>
      <c r="Q74" s="144"/>
      <c r="R74" s="145"/>
      <c r="S74" s="146"/>
      <c r="T74" s="146"/>
      <c r="U74" s="146"/>
      <c r="V74" s="138"/>
      <c r="W74" s="138"/>
      <c r="X74" s="147"/>
      <c r="Y74" s="147"/>
      <c r="Z74" s="147"/>
      <c r="AA74" s="147"/>
      <c r="AB74" s="147"/>
      <c r="AC74" s="147"/>
      <c r="AD74" s="147"/>
      <c r="AE74" s="147"/>
      <c r="AF74" s="147"/>
      <c r="AG74" s="147"/>
    </row>
    <row r="75" spans="2:33" ht="15.75" customHeight="1">
      <c r="B75" s="96"/>
      <c r="C75" s="1431" t="str">
        <f>IF(Indice_index!$Z$1=1,"Fonte: DROT/RAM; DROT/RAA.","Source: DROT/RAM; DROT/RAA.")</f>
        <v>Fonte: DROT/RAM; DROT/RAA.</v>
      </c>
      <c r="D75" s="96"/>
      <c r="E75" s="1450"/>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D76" s="96"/>
      <c r="E76" s="96"/>
      <c r="F76" s="96"/>
      <c r="G76" s="96"/>
      <c r="H76" s="96"/>
      <c r="I76" s="96"/>
      <c r="J76" s="96"/>
      <c r="K76" s="96"/>
      <c r="L76" s="96"/>
      <c r="M76" s="96"/>
      <c r="N76" s="383"/>
      <c r="Q76" s="144"/>
      <c r="R76" s="145"/>
      <c r="S76" s="146"/>
      <c r="T76" s="146"/>
      <c r="U76" s="14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B79" s="96"/>
      <c r="C79" s="96"/>
      <c r="D79" s="96"/>
      <c r="E79" s="96"/>
      <c r="F79" s="96"/>
      <c r="G79" s="96"/>
      <c r="H79" s="96"/>
      <c r="I79" s="96"/>
      <c r="J79" s="96"/>
      <c r="K79" s="96"/>
      <c r="L79" s="96"/>
      <c r="M79" s="96"/>
      <c r="X79" s="147"/>
      <c r="Y79" s="147"/>
      <c r="Z79" s="147"/>
      <c r="AA79" s="147"/>
      <c r="AB79" s="147"/>
      <c r="AC79" s="147"/>
      <c r="AD79" s="147"/>
      <c r="AE79" s="147"/>
      <c r="AF79" s="147"/>
      <c r="AG79" s="147"/>
    </row>
    <row r="80" spans="2:33">
      <c r="C80" s="96"/>
      <c r="D80" s="166"/>
      <c r="E80" s="166"/>
      <c r="F80" s="166"/>
      <c r="G80" s="166"/>
      <c r="H80" s="166"/>
      <c r="I80" s="166"/>
      <c r="J80" s="166"/>
      <c r="K80" s="166"/>
      <c r="L80" s="166"/>
      <c r="M80" s="415"/>
      <c r="X80" s="147"/>
      <c r="Y80" s="147"/>
      <c r="Z80" s="147"/>
      <c r="AA80" s="147"/>
      <c r="AB80" s="147"/>
      <c r="AC80" s="147"/>
      <c r="AD80" s="147"/>
      <c r="AE80" s="147"/>
      <c r="AF80" s="147"/>
      <c r="AG80" s="147"/>
    </row>
    <row r="81" spans="3:33">
      <c r="C81" s="166"/>
      <c r="D81" s="166"/>
      <c r="E81" s="166"/>
      <c r="F81" s="166"/>
      <c r="G81" s="166"/>
      <c r="H81" s="166"/>
      <c r="I81" s="166"/>
      <c r="J81" s="166"/>
      <c r="K81" s="166"/>
      <c r="L81" s="166"/>
      <c r="M81" s="415"/>
      <c r="X81" s="147"/>
      <c r="Y81" s="147"/>
      <c r="Z81" s="147"/>
      <c r="AA81" s="147"/>
      <c r="AB81" s="147"/>
      <c r="AC81" s="147"/>
      <c r="AD81" s="147"/>
      <c r="AE81" s="147"/>
      <c r="AF81" s="147"/>
      <c r="AG81" s="147"/>
    </row>
    <row r="82" spans="3:33">
      <c r="C82" s="166"/>
      <c r="D82" s="166"/>
      <c r="E82" s="166"/>
      <c r="F82" s="166"/>
      <c r="G82" s="166"/>
      <c r="H82" s="166"/>
      <c r="I82" s="166"/>
      <c r="J82" s="166"/>
      <c r="K82" s="166"/>
      <c r="L82" s="166"/>
      <c r="M82" s="415"/>
      <c r="X82" s="147"/>
      <c r="Y82" s="147"/>
      <c r="Z82" s="147"/>
      <c r="AA82" s="147"/>
      <c r="AB82" s="147"/>
      <c r="AC82" s="147"/>
      <c r="AD82" s="147"/>
      <c r="AE82" s="147"/>
      <c r="AF82" s="147"/>
      <c r="AG82" s="147"/>
    </row>
    <row r="83" spans="3:33">
      <c r="C83" s="166"/>
      <c r="D83" s="166"/>
      <c r="E83" s="166"/>
      <c r="F83" s="166"/>
      <c r="G83" s="166"/>
      <c r="H83" s="166"/>
      <c r="I83" s="166"/>
      <c r="J83" s="166"/>
      <c r="K83" s="166"/>
      <c r="L83" s="166"/>
      <c r="M83" s="415"/>
      <c r="X83" s="147"/>
      <c r="Y83" s="147"/>
      <c r="Z83" s="147"/>
      <c r="AA83" s="147"/>
      <c r="AB83" s="147"/>
      <c r="AC83" s="147"/>
      <c r="AD83" s="147"/>
      <c r="AE83" s="147"/>
      <c r="AF83" s="147"/>
      <c r="AG83" s="147"/>
    </row>
    <row r="84" spans="3:33">
      <c r="C84" s="166"/>
      <c r="D84" s="166"/>
      <c r="E84" s="166"/>
      <c r="F84" s="166"/>
      <c r="G84" s="166"/>
      <c r="H84" s="166"/>
      <c r="I84" s="166"/>
      <c r="J84" s="166"/>
      <c r="K84" s="166"/>
      <c r="L84" s="166"/>
      <c r="M84" s="415"/>
      <c r="X84" s="147"/>
      <c r="Y84" s="147"/>
      <c r="Z84" s="147"/>
      <c r="AA84" s="147"/>
      <c r="AB84" s="147"/>
      <c r="AC84" s="147"/>
      <c r="AD84" s="147"/>
      <c r="AE84" s="147"/>
      <c r="AF84" s="147"/>
      <c r="AG84" s="147"/>
    </row>
    <row r="85" spans="3:33">
      <c r="C85" s="166"/>
      <c r="D85" s="166"/>
      <c r="E85" s="166"/>
      <c r="F85" s="166"/>
      <c r="G85" s="166"/>
      <c r="H85" s="166"/>
      <c r="I85" s="166"/>
      <c r="J85" s="166"/>
      <c r="K85" s="166"/>
      <c r="L85" s="166"/>
      <c r="M85" s="415"/>
      <c r="X85" s="147"/>
      <c r="Y85" s="147"/>
      <c r="Z85" s="147"/>
      <c r="AA85" s="147"/>
      <c r="AB85" s="147"/>
      <c r="AC85" s="147"/>
      <c r="AD85" s="147"/>
      <c r="AE85" s="147"/>
      <c r="AF85" s="147"/>
      <c r="AG85" s="147"/>
    </row>
    <row r="86" spans="3:33">
      <c r="C86" s="166"/>
      <c r="D86" s="166"/>
      <c r="E86" s="166"/>
      <c r="F86" s="166"/>
      <c r="G86" s="166"/>
      <c r="H86" s="166"/>
      <c r="I86" s="166"/>
      <c r="J86" s="166"/>
      <c r="K86" s="166"/>
      <c r="L86" s="166"/>
      <c r="M86" s="415"/>
      <c r="X86" s="147"/>
      <c r="Y86" s="147"/>
      <c r="Z86" s="147"/>
      <c r="AA86" s="147"/>
      <c r="AB86" s="147"/>
      <c r="AC86" s="147"/>
      <c r="AD86" s="147"/>
      <c r="AE86" s="147"/>
      <c r="AF86" s="147"/>
      <c r="AG86" s="147"/>
    </row>
    <row r="87" spans="3:33">
      <c r="C87" s="166"/>
      <c r="D87" s="166"/>
      <c r="E87" s="166"/>
      <c r="F87" s="166"/>
      <c r="G87" s="166"/>
      <c r="H87" s="166"/>
      <c r="I87" s="166"/>
      <c r="J87" s="166"/>
      <c r="K87" s="166"/>
      <c r="L87" s="166"/>
      <c r="M87" s="415"/>
      <c r="X87" s="147"/>
      <c r="Y87" s="147"/>
      <c r="Z87" s="147"/>
      <c r="AA87" s="147"/>
      <c r="AB87" s="147"/>
      <c r="AC87" s="147"/>
      <c r="AD87" s="147"/>
      <c r="AE87" s="147"/>
      <c r="AF87" s="147"/>
      <c r="AG87" s="147"/>
    </row>
    <row r="88" spans="3:33">
      <c r="C88" s="166"/>
      <c r="D88" s="166"/>
      <c r="E88" s="166"/>
      <c r="F88" s="166"/>
      <c r="G88" s="166"/>
      <c r="H88" s="166"/>
      <c r="I88" s="166"/>
      <c r="J88" s="166"/>
      <c r="K88" s="166"/>
      <c r="L88" s="166"/>
      <c r="M88" s="415"/>
      <c r="X88" s="147"/>
      <c r="Y88" s="147"/>
      <c r="Z88" s="147"/>
      <c r="AA88" s="147"/>
      <c r="AB88" s="147"/>
      <c r="AC88" s="147"/>
      <c r="AD88" s="147"/>
      <c r="AE88" s="147"/>
      <c r="AF88" s="147"/>
      <c r="AG88" s="147"/>
    </row>
    <row r="89" spans="3:33">
      <c r="C89" s="166"/>
      <c r="D89" s="166"/>
      <c r="E89" s="166"/>
      <c r="F89" s="166"/>
      <c r="G89" s="166"/>
      <c r="H89" s="166"/>
      <c r="I89" s="166"/>
      <c r="J89" s="166"/>
      <c r="K89" s="166"/>
      <c r="L89" s="166"/>
      <c r="M89" s="415"/>
      <c r="X89" s="147"/>
      <c r="Y89" s="147"/>
      <c r="Z89" s="147"/>
      <c r="AA89" s="147"/>
      <c r="AB89" s="147"/>
      <c r="AC89" s="147"/>
      <c r="AD89" s="147"/>
      <c r="AE89" s="147"/>
      <c r="AF89" s="147"/>
      <c r="AG89" s="147"/>
    </row>
    <row r="90" spans="3:33">
      <c r="C90" s="166"/>
      <c r="D90" s="166"/>
      <c r="E90" s="166"/>
      <c r="F90" s="166"/>
      <c r="G90" s="166"/>
      <c r="H90" s="166"/>
      <c r="I90" s="166"/>
      <c r="J90" s="166"/>
      <c r="K90" s="166"/>
      <c r="L90" s="166"/>
      <c r="M90" s="415"/>
      <c r="X90" s="147"/>
      <c r="Y90" s="147"/>
      <c r="Z90" s="147"/>
      <c r="AA90" s="147"/>
      <c r="AB90" s="147"/>
      <c r="AC90" s="147"/>
      <c r="AD90" s="147"/>
      <c r="AE90" s="147"/>
      <c r="AF90" s="147"/>
      <c r="AG90" s="147"/>
    </row>
    <row r="91" spans="3:33">
      <c r="C91" s="166"/>
      <c r="D91" s="166"/>
      <c r="E91" s="166"/>
      <c r="F91" s="166"/>
      <c r="G91" s="166"/>
      <c r="H91" s="166"/>
      <c r="I91" s="166"/>
      <c r="J91" s="166"/>
      <c r="K91" s="166"/>
      <c r="L91" s="166"/>
      <c r="M91" s="415"/>
      <c r="X91" s="147"/>
      <c r="Y91" s="147"/>
      <c r="Z91" s="147"/>
      <c r="AA91" s="147"/>
      <c r="AB91" s="147"/>
      <c r="AC91" s="147"/>
      <c r="AD91" s="147"/>
      <c r="AE91" s="147"/>
      <c r="AF91" s="147"/>
      <c r="AG91" s="147"/>
    </row>
    <row r="92" spans="3:33">
      <c r="C92" s="166"/>
      <c r="D92" s="166"/>
      <c r="E92" s="166"/>
      <c r="F92" s="166"/>
      <c r="G92" s="166"/>
      <c r="H92" s="166"/>
      <c r="I92" s="166"/>
      <c r="J92" s="166"/>
      <c r="K92" s="166"/>
      <c r="L92" s="166"/>
      <c r="M92" s="415"/>
      <c r="X92" s="147"/>
      <c r="Y92" s="147"/>
      <c r="Z92" s="147"/>
      <c r="AA92" s="147"/>
      <c r="AB92" s="147"/>
      <c r="AC92" s="147"/>
      <c r="AD92" s="147"/>
      <c r="AE92" s="147"/>
      <c r="AF92" s="147"/>
      <c r="AG92" s="147"/>
    </row>
    <row r="93" spans="3:33">
      <c r="C93" s="166"/>
      <c r="D93" s="166"/>
      <c r="E93" s="166"/>
      <c r="F93" s="166"/>
      <c r="G93" s="166"/>
      <c r="H93" s="166"/>
      <c r="I93" s="166"/>
      <c r="J93" s="166"/>
      <c r="K93" s="166"/>
      <c r="L93" s="166"/>
      <c r="M93" s="415"/>
      <c r="X93" s="147"/>
      <c r="Y93" s="147"/>
      <c r="Z93" s="147"/>
      <c r="AA93" s="147"/>
      <c r="AB93" s="147"/>
      <c r="AC93" s="147"/>
      <c r="AD93" s="147"/>
      <c r="AE93" s="147"/>
      <c r="AF93" s="147"/>
      <c r="AG93" s="147"/>
    </row>
    <row r="94" spans="3:33">
      <c r="C94" s="166"/>
      <c r="D94" s="166"/>
      <c r="E94" s="166"/>
      <c r="F94" s="166"/>
      <c r="G94" s="166"/>
      <c r="H94" s="166"/>
      <c r="I94" s="166"/>
      <c r="J94" s="166"/>
      <c r="K94" s="166"/>
      <c r="L94" s="166"/>
      <c r="M94" s="415"/>
      <c r="X94" s="147"/>
      <c r="Y94" s="147"/>
      <c r="Z94" s="147"/>
      <c r="AA94" s="147"/>
      <c r="AB94" s="147"/>
      <c r="AC94" s="147"/>
      <c r="AD94" s="147"/>
      <c r="AE94" s="147"/>
      <c r="AF94" s="147"/>
      <c r="AG94" s="147"/>
    </row>
    <row r="95" spans="3:33">
      <c r="C95" s="166"/>
      <c r="D95" s="166"/>
      <c r="E95" s="166"/>
      <c r="F95" s="166"/>
      <c r="G95" s="166"/>
      <c r="H95" s="166"/>
      <c r="I95" s="166"/>
      <c r="J95" s="166"/>
      <c r="K95" s="166"/>
      <c r="L95" s="166"/>
      <c r="M95" s="415"/>
      <c r="X95" s="147"/>
      <c r="Y95" s="147"/>
      <c r="Z95" s="147"/>
      <c r="AA95" s="147"/>
      <c r="AB95" s="147"/>
      <c r="AC95" s="147"/>
      <c r="AD95" s="147"/>
      <c r="AE95" s="147"/>
      <c r="AF95" s="147"/>
      <c r="AG95" s="147"/>
    </row>
    <row r="96" spans="3:33">
      <c r="C96" s="166"/>
      <c r="D96" s="166"/>
      <c r="E96" s="166"/>
      <c r="F96" s="166"/>
      <c r="G96" s="166"/>
      <c r="H96" s="166"/>
      <c r="I96" s="166"/>
      <c r="J96" s="166"/>
      <c r="K96" s="166"/>
      <c r="L96" s="166"/>
      <c r="M96" s="415"/>
      <c r="X96" s="147"/>
      <c r="Y96" s="147"/>
      <c r="Z96" s="147"/>
      <c r="AA96" s="147"/>
      <c r="AB96" s="147"/>
      <c r="AC96" s="147"/>
      <c r="AD96" s="147"/>
      <c r="AE96" s="147"/>
      <c r="AF96" s="147"/>
      <c r="AG96" s="147"/>
    </row>
    <row r="97" spans="3:33">
      <c r="C97" s="166"/>
      <c r="D97" s="166"/>
      <c r="E97" s="166"/>
      <c r="F97" s="166"/>
      <c r="G97" s="166"/>
      <c r="H97" s="166"/>
      <c r="I97" s="166"/>
      <c r="J97" s="166"/>
      <c r="K97" s="166"/>
      <c r="L97" s="166"/>
      <c r="M97" s="415"/>
      <c r="X97" s="147"/>
      <c r="Y97" s="147"/>
      <c r="Z97" s="147"/>
      <c r="AA97" s="147"/>
      <c r="AB97" s="147"/>
      <c r="AC97" s="147"/>
      <c r="AD97" s="147"/>
      <c r="AE97" s="147"/>
      <c r="AF97" s="147"/>
      <c r="AG97" s="147"/>
    </row>
    <row r="98" spans="3:33">
      <c r="C98" s="166"/>
      <c r="D98" s="166"/>
      <c r="E98" s="166"/>
      <c r="F98" s="166"/>
      <c r="G98" s="166"/>
      <c r="H98" s="166"/>
      <c r="I98" s="166"/>
      <c r="J98" s="166"/>
      <c r="K98" s="166"/>
      <c r="L98" s="166"/>
      <c r="M98" s="415"/>
      <c r="X98" s="147"/>
      <c r="Y98" s="147"/>
      <c r="Z98" s="147"/>
      <c r="AA98" s="147"/>
      <c r="AB98" s="147"/>
      <c r="AC98" s="147"/>
      <c r="AD98" s="147"/>
      <c r="AE98" s="147"/>
      <c r="AF98" s="147"/>
      <c r="AG98" s="147"/>
    </row>
    <row r="99" spans="3:33">
      <c r="C99" s="166"/>
      <c r="D99" s="166"/>
      <c r="E99" s="166"/>
      <c r="F99" s="166"/>
      <c r="G99" s="166"/>
      <c r="H99" s="166"/>
      <c r="I99" s="166"/>
      <c r="J99" s="166"/>
      <c r="K99" s="166"/>
      <c r="L99" s="166"/>
      <c r="M99" s="415"/>
    </row>
    <row r="100" spans="3:33">
      <c r="C100" s="166"/>
      <c r="D100" s="166"/>
      <c r="E100" s="166"/>
      <c r="F100" s="166"/>
      <c r="G100" s="166"/>
      <c r="H100" s="166"/>
      <c r="I100" s="166"/>
      <c r="J100" s="166"/>
      <c r="K100" s="166"/>
      <c r="L100" s="166"/>
      <c r="M100" s="415"/>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D116" s="166"/>
      <c r="E116" s="166"/>
      <c r="F116" s="166"/>
      <c r="G116" s="166"/>
      <c r="H116" s="166"/>
      <c r="I116" s="367"/>
      <c r="J116" s="367"/>
      <c r="K116" s="367"/>
      <c r="L116" s="367"/>
      <c r="M116" s="368"/>
    </row>
    <row r="117" spans="3:13">
      <c r="C117" s="166"/>
      <c r="F117" s="166"/>
      <c r="G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c r="D133" s="166"/>
      <c r="E133" s="166"/>
      <c r="F133" s="166"/>
      <c r="G133" s="166"/>
      <c r="H133" s="166"/>
      <c r="I133" s="367"/>
      <c r="J133" s="367"/>
      <c r="K133" s="367"/>
      <c r="L133" s="367"/>
      <c r="M133" s="368"/>
    </row>
    <row r="134" spans="3:13">
      <c r="C134"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1"/>
  <sheetViews>
    <sheetView showGridLines="0" zoomScaleNormal="100" zoomScaleSheetLayoutView="100" workbookViewId="0">
      <selection activeCell="B2" sqref="B2"/>
    </sheetView>
  </sheetViews>
  <sheetFormatPr defaultColWidth="9.140625" defaultRowHeight="12.75"/>
  <cols>
    <col min="1" max="1" width="2.5703125" style="96" customWidth="1"/>
    <col min="2" max="2" width="4.42578125" style="96" customWidth="1"/>
    <col min="3" max="3" width="40.42578125" style="96" customWidth="1"/>
    <col min="4" max="7" width="9.42578125" style="96" customWidth="1"/>
    <col min="8" max="8" width="10.140625" style="96" customWidth="1"/>
    <col min="9" max="9" width="9.5703125" style="96" bestFit="1" customWidth="1"/>
    <col min="10" max="10" width="11.5703125" style="96" bestFit="1" customWidth="1"/>
    <col min="11" max="12" width="8.5703125" style="96" customWidth="1"/>
    <col min="13" max="13" width="15.42578125" style="96" customWidth="1"/>
    <col min="14" max="15" width="8.5703125" style="96" customWidth="1"/>
    <col min="16" max="18" width="9.140625" style="96"/>
    <col min="19" max="21" width="9.140625" style="50" customWidth="1"/>
    <col min="22" max="16384" width="9.14062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Execução Orçamental da Administração Local</v>
      </c>
      <c r="D2" s="51"/>
      <c r="E2" s="51"/>
      <c r="F2" s="51"/>
      <c r="G2" s="51"/>
      <c r="S2" s="80"/>
      <c r="U2" s="80"/>
    </row>
    <row r="3" spans="2:22" ht="15" customHeight="1">
      <c r="S3" s="80"/>
    </row>
    <row r="4" spans="2:22" ht="15" customHeight="1">
      <c r="S4" s="80"/>
    </row>
    <row r="5" spans="2:22" s="250" customFormat="1" ht="15" customHeight="1">
      <c r="C5" s="1209" t="str">
        <f>+'5 - Conta AC + SS'!C5</f>
        <v>Período: janeiro a dezembro</v>
      </c>
      <c r="D5" s="1363"/>
      <c r="E5" s="1363"/>
      <c r="F5" s="1364"/>
      <c r="G5" s="1214" t="str">
        <f>IF(Indice_index!$Z$1=1,"€ Milhões","€ Millions")</f>
        <v>€ Milhões</v>
      </c>
      <c r="S5" s="248"/>
      <c r="T5" s="248"/>
      <c r="U5" s="248"/>
    </row>
    <row r="6" spans="2:22" ht="27" customHeight="1">
      <c r="C6" s="1764"/>
      <c r="D6" s="1766" t="str">
        <f>IF(Indice_index!$Z$1=1,"Execução Acumulada","Accumulated Execution")</f>
        <v>Execução Acumulada</v>
      </c>
      <c r="E6" s="1766"/>
      <c r="F6" s="1767" t="str">
        <f>IF(Indice_index!$Z$1=1,"Variação Homóloga Acumulada","YOY Change Rate (%)")</f>
        <v>Variação Homóloga Acumulada</v>
      </c>
      <c r="G6" s="1768"/>
    </row>
    <row r="7" spans="2:22" ht="36" customHeight="1">
      <c r="C7" s="1765"/>
      <c r="D7" s="1365">
        <v>2021</v>
      </c>
      <c r="E7" s="1365">
        <v>2022</v>
      </c>
      <c r="F7" s="1361" t="str">
        <f>IF(Indice_index!$Z$1=1,"TVH (%)","YOY Change Rate (%)")</f>
        <v>TVH (%)</v>
      </c>
      <c r="G7" s="1362" t="str">
        <f>IF(Indice_index!$Z$1=1,"Contributo    VH (p.p.)","YOY Change Contrib. (p.p.)")</f>
        <v>Contributo    VH (p.p.)</v>
      </c>
      <c r="H7" s="246"/>
      <c r="I7" s="246"/>
      <c r="J7"/>
    </row>
    <row r="8" spans="2:22" s="250" customFormat="1" ht="15" customHeight="1">
      <c r="C8" s="1366" t="str">
        <f>IF(Indice_index!$Z$1=1,"Receita corrente","Current revenue")</f>
        <v>Receita corrente</v>
      </c>
      <c r="D8" s="1367">
        <v>8368.954650679887</v>
      </c>
      <c r="E8" s="1367">
        <v>9569.9740935377231</v>
      </c>
      <c r="F8" s="301">
        <f t="shared" ref="F8:F19" si="0">IFERROR(IF(ABS((E8-D8)/D8)*100&gt;500,"n.r.",((E8-D8)/D8)*100),0)</f>
        <v>14.350889603162878</v>
      </c>
      <c r="G8" s="159">
        <f>IFERROR((E8-D8)/D43*100,"-")</f>
        <v>12.589893015858783</v>
      </c>
      <c r="H8" s="440"/>
      <c r="I8" s="440"/>
      <c r="J8" s="441"/>
      <c r="K8" s="440"/>
      <c r="L8" s="301"/>
      <c r="M8" s="310"/>
      <c r="N8" s="310"/>
      <c r="O8" s="159"/>
      <c r="P8" s="159"/>
      <c r="Q8" s="311"/>
      <c r="R8" s="311"/>
      <c r="S8" s="312"/>
      <c r="T8" s="312"/>
      <c r="U8" s="312"/>
      <c r="V8" s="313"/>
    </row>
    <row r="9" spans="2:22" ht="15" customHeight="1">
      <c r="C9" s="1368" t="str">
        <f>IF(Indice_index!$Z$1=1,"Receita Fiscal","Tax income")</f>
        <v>Receita Fiscal</v>
      </c>
      <c r="D9" s="1369">
        <v>3450.9505004062853</v>
      </c>
      <c r="E9" s="1369">
        <v>3888.434403885874</v>
      </c>
      <c r="F9" s="1370">
        <f t="shared" si="0"/>
        <v>12.677200192471119</v>
      </c>
      <c r="G9" s="1371">
        <f>IFERROR((E9-D9)/D43*100,"-")</f>
        <v>4.5860003130859184</v>
      </c>
      <c r="H9" s="440"/>
      <c r="I9" s="440"/>
      <c r="J9" s="441"/>
      <c r="K9" s="215"/>
      <c r="L9" s="156"/>
      <c r="M9" s="157"/>
      <c r="N9" s="157"/>
      <c r="O9" s="158"/>
      <c r="P9" s="159"/>
      <c r="Q9" s="160"/>
      <c r="R9" s="160"/>
      <c r="S9" s="161"/>
      <c r="T9" s="161"/>
      <c r="U9" s="161"/>
      <c r="V9" s="111"/>
    </row>
    <row r="10" spans="2:22" ht="15" customHeight="1">
      <c r="C10" s="1372" t="str">
        <f>IF(Indice_index!$Z$1=1,"Impostos diretos","Direct taxes")</f>
        <v>Impostos diretos</v>
      </c>
      <c r="D10" s="1369">
        <v>3414.747231238473</v>
      </c>
      <c r="E10" s="1369">
        <v>3871.4105711910643</v>
      </c>
      <c r="F10" s="1370">
        <f t="shared" si="0"/>
        <v>13.373269206428699</v>
      </c>
      <c r="G10" s="1371">
        <f>IFERROR((E10-D10)/D43*100,"-")</f>
        <v>4.7870520568653445</v>
      </c>
      <c r="H10" s="440"/>
      <c r="I10" s="440"/>
      <c r="J10" s="441"/>
      <c r="K10" s="215"/>
      <c r="L10" s="156"/>
      <c r="M10" s="157"/>
      <c r="N10" s="157"/>
      <c r="O10" s="158"/>
      <c r="P10" s="159"/>
      <c r="Q10" s="160"/>
      <c r="R10" s="160"/>
      <c r="S10" s="161"/>
      <c r="T10" s="161"/>
      <c r="U10" s="161"/>
      <c r="V10" s="111"/>
    </row>
    <row r="11" spans="2:22" ht="15" customHeight="1">
      <c r="C11" s="1373" t="str">
        <f>IF(Indice_index!$Z$1=1,"Imposto Municipal sobre Transmissões","Municipal Property Transfer Tax")</f>
        <v>Imposto Municipal sobre Transmissões</v>
      </c>
      <c r="D11" s="1369">
        <v>1345.0588282571969</v>
      </c>
      <c r="E11" s="1369">
        <v>1698.3000826434852</v>
      </c>
      <c r="F11" s="1370">
        <f t="shared" si="0"/>
        <v>26.262141622756069</v>
      </c>
      <c r="G11" s="1371">
        <f>IFERROR((E11-D11)/D43*100,"-")</f>
        <v>3.7029122450580902</v>
      </c>
      <c r="H11" s="440"/>
      <c r="I11" s="440"/>
      <c r="J11" s="441"/>
      <c r="K11" s="215"/>
      <c r="L11" s="156"/>
      <c r="M11" s="157"/>
      <c r="N11" s="157"/>
      <c r="O11" s="158"/>
      <c r="P11" s="159"/>
      <c r="Q11" s="160"/>
      <c r="R11" s="160"/>
      <c r="S11" s="161"/>
      <c r="T11" s="161"/>
      <c r="U11" s="161"/>
      <c r="V11" s="111"/>
    </row>
    <row r="12" spans="2:22" ht="15" customHeight="1">
      <c r="C12" s="1373" t="str">
        <f>IF(Indice_index!$Z$1=1,"Imposto Municipal sobre Imóveis","Municipal Real Estate Tax")</f>
        <v>Imposto Municipal sobre Imóveis</v>
      </c>
      <c r="D12" s="1369">
        <v>1480.3898781477828</v>
      </c>
      <c r="E12" s="1369">
        <v>1487.315205462427</v>
      </c>
      <c r="F12" s="1370">
        <f t="shared" si="0"/>
        <v>0.46780428702396393</v>
      </c>
      <c r="G12" s="1371">
        <f>IFERROR((E12-D12)/D43*100,"-")</f>
        <v>7.2595935486029536E-2</v>
      </c>
      <c r="H12" s="440"/>
      <c r="I12" s="440"/>
      <c r="J12" s="441"/>
      <c r="K12" s="215"/>
      <c r="L12" s="156"/>
      <c r="M12" s="157"/>
      <c r="N12" s="157"/>
      <c r="O12" s="158"/>
      <c r="P12" s="159"/>
      <c r="Q12" s="160"/>
      <c r="R12" s="160"/>
      <c r="S12" s="161"/>
      <c r="T12" s="161"/>
      <c r="U12" s="161"/>
      <c r="V12" s="111"/>
    </row>
    <row r="13" spans="2:22" ht="15" customHeight="1">
      <c r="C13" s="1373" t="str">
        <f>IF(Indice_index!$Z$1=1,"Imposto Único de Circulação","Municipal Vehicle Tax")</f>
        <v>Imposto Único de Circulação</v>
      </c>
      <c r="D13" s="1369">
        <v>291.06368480527715</v>
      </c>
      <c r="E13" s="1369">
        <v>310.40423903724815</v>
      </c>
      <c r="F13" s="1370">
        <f t="shared" si="0"/>
        <v>6.6447843690668291</v>
      </c>
      <c r="G13" s="1371">
        <f>IFERROR((E13-D13)/D43*100,"-")</f>
        <v>0.20274068841760798</v>
      </c>
      <c r="H13" s="440"/>
      <c r="I13" s="440"/>
      <c r="J13" s="441"/>
      <c r="K13" s="215"/>
      <c r="L13" s="156"/>
      <c r="M13" s="157"/>
      <c r="N13" s="157"/>
      <c r="O13" s="158"/>
      <c r="P13" s="159"/>
      <c r="Q13" s="160"/>
      <c r="R13" s="160"/>
      <c r="S13" s="161"/>
      <c r="T13" s="161"/>
      <c r="U13" s="161"/>
      <c r="V13" s="111"/>
    </row>
    <row r="14" spans="2:22" ht="15" customHeight="1">
      <c r="C14" s="1373" t="str">
        <f>IF(Indice_index!$Z$1=1,"Derrama","Overtax")</f>
        <v>Derrama</v>
      </c>
      <c r="D14" s="1369">
        <v>297.51695638821582</v>
      </c>
      <c r="E14" s="1369">
        <v>374.51694336122887</v>
      </c>
      <c r="F14" s="1370">
        <f t="shared" si="0"/>
        <v>25.880873449289865</v>
      </c>
      <c r="G14" s="1371">
        <f>IFERROR((E14-D14)/D43*100,"-")</f>
        <v>0.80716561582550839</v>
      </c>
      <c r="H14" s="440"/>
      <c r="I14" s="440"/>
      <c r="J14" s="441"/>
      <c r="K14" s="215"/>
      <c r="L14" s="156"/>
      <c r="M14" s="157"/>
      <c r="N14" s="157"/>
      <c r="O14" s="158"/>
      <c r="P14" s="159"/>
      <c r="Q14" s="160"/>
      <c r="R14" s="160"/>
      <c r="S14" s="161"/>
      <c r="T14" s="161"/>
      <c r="U14" s="161"/>
      <c r="V14" s="111"/>
    </row>
    <row r="15" spans="2:22" ht="15" customHeight="1">
      <c r="C15" s="1373" t="str">
        <f>IF(Indice_index!$Z$1=1,"Outros ","Others")</f>
        <v xml:space="preserve">Outros </v>
      </c>
      <c r="D15" s="1369">
        <v>0.71788364000000005</v>
      </c>
      <c r="E15" s="1369">
        <v>0.87410068667490826</v>
      </c>
      <c r="F15" s="1370">
        <f t="shared" si="0"/>
        <v>21.760775419663862</v>
      </c>
      <c r="G15" s="1371">
        <f>IFERROR((E15-D15)/D43*100,"-")</f>
        <v>1.6375720781094099E-3</v>
      </c>
      <c r="H15" s="440"/>
      <c r="I15" s="440"/>
      <c r="J15" s="441"/>
      <c r="K15" s="215"/>
      <c r="L15" s="156"/>
      <c r="M15" s="157"/>
      <c r="N15" s="157"/>
      <c r="O15" s="158"/>
      <c r="P15" s="159"/>
      <c r="Q15" s="160"/>
      <c r="R15" s="160"/>
      <c r="S15" s="161"/>
      <c r="T15" s="161"/>
      <c r="U15" s="161"/>
      <c r="V15" s="111"/>
    </row>
    <row r="16" spans="2:22" ht="15" customHeight="1">
      <c r="C16" s="1372" t="str">
        <f>IF(Indice_index!$Z$1=1,"Impostos indiretos","Indirect taxes")</f>
        <v>Impostos indiretos</v>
      </c>
      <c r="D16" s="1369">
        <v>36.203269167812259</v>
      </c>
      <c r="E16" s="1369">
        <v>17.023832694809567</v>
      </c>
      <c r="F16" s="1370">
        <f t="shared" si="0"/>
        <v>-52.977084428758772</v>
      </c>
      <c r="G16" s="1371">
        <f>IFERROR((E16-D16)/D43*100,"-")</f>
        <v>-0.20105174377942694</v>
      </c>
      <c r="H16" s="440"/>
      <c r="I16" s="440"/>
      <c r="J16" s="441"/>
      <c r="K16" s="215"/>
      <c r="L16" s="156"/>
      <c r="M16" s="157"/>
      <c r="N16" s="157"/>
      <c r="O16" s="158"/>
      <c r="P16" s="159"/>
      <c r="Q16" s="160"/>
      <c r="R16" s="160"/>
      <c r="S16" s="161"/>
      <c r="T16" s="161"/>
      <c r="U16" s="161"/>
      <c r="V16" s="111"/>
    </row>
    <row r="17" spans="3:22" ht="15" customHeight="1">
      <c r="C17" s="1368" t="str">
        <f>IF(Indice_index!$Z$1=1,"Taxas, Multas e Outras Penalidades","Taxes, fines and other penalties")</f>
        <v>Taxas, Multas e Outras Penalidades</v>
      </c>
      <c r="D17" s="1369">
        <v>356.06553235659112</v>
      </c>
      <c r="E17" s="1369">
        <v>449.23191288391621</v>
      </c>
      <c r="F17" s="1370">
        <f t="shared" si="0"/>
        <v>26.165515069855505</v>
      </c>
      <c r="G17" s="1371">
        <f>IFERROR((E17-D17)/D43*100,"-")</f>
        <v>0.97663261863834261</v>
      </c>
      <c r="H17" s="440"/>
      <c r="I17" s="440"/>
      <c r="J17" s="441"/>
      <c r="K17" s="215"/>
      <c r="L17" s="156"/>
      <c r="M17" s="157"/>
      <c r="N17" s="157"/>
      <c r="O17" s="158"/>
      <c r="P17" s="159"/>
      <c r="Q17" s="160"/>
      <c r="R17" s="160"/>
      <c r="S17" s="161"/>
      <c r="T17" s="161"/>
      <c r="U17" s="161"/>
      <c r="V17" s="111"/>
    </row>
    <row r="18" spans="3:22" ht="15" customHeight="1">
      <c r="C18" s="1368" t="str">
        <f>IF(Indice_index!$Z$1=1,"Transferências Correntes","Current transfers")</f>
        <v>Transferências Correntes</v>
      </c>
      <c r="D18" s="1369">
        <v>3386.8734575490585</v>
      </c>
      <c r="E18" s="1369">
        <v>3914.1141526948818</v>
      </c>
      <c r="F18" s="1370">
        <f t="shared" si="0"/>
        <v>15.567180225486362</v>
      </c>
      <c r="G18" s="1371">
        <f>IFERROR((E18-D18)/D43*100,"-")</f>
        <v>5.5268913296673876</v>
      </c>
      <c r="H18" s="440"/>
      <c r="I18" s="440"/>
      <c r="J18" s="441"/>
      <c r="K18" s="215"/>
      <c r="L18" s="156"/>
      <c r="M18" s="157"/>
      <c r="N18" s="157"/>
      <c r="O18" s="158"/>
      <c r="P18" s="159"/>
      <c r="Q18" s="160"/>
      <c r="R18" s="160"/>
      <c r="S18" s="161"/>
      <c r="T18" s="161"/>
      <c r="U18" s="161"/>
      <c r="V18" s="111"/>
    </row>
    <row r="19" spans="3:22" ht="15" customHeight="1">
      <c r="C19" s="1374" t="str">
        <f>IF(Indice_index!$Z$1=1,"Administração Central","Central Administration")</f>
        <v>Administração Central</v>
      </c>
      <c r="D19" s="1369">
        <v>3284.9079697626803</v>
      </c>
      <c r="E19" s="1369">
        <v>3752.5027827103936</v>
      </c>
      <c r="F19" s="1370">
        <f t="shared" si="0"/>
        <v>14.234639668809196</v>
      </c>
      <c r="G19" s="1371">
        <f>IFERROR((E19-D19)/D43*100,"-")</f>
        <v>4.9016431039401969</v>
      </c>
      <c r="H19" s="440"/>
      <c r="I19" s="440"/>
      <c r="J19" s="441"/>
      <c r="K19" s="215"/>
      <c r="L19" s="156"/>
      <c r="M19" s="157"/>
      <c r="N19" s="157"/>
      <c r="O19" s="158"/>
      <c r="P19" s="159"/>
      <c r="Q19" s="160"/>
      <c r="R19" s="160"/>
      <c r="S19" s="161"/>
      <c r="T19" s="161"/>
      <c r="U19" s="161"/>
      <c r="V19" s="111"/>
    </row>
    <row r="20" spans="3:22" ht="15" customHeight="1">
      <c r="C20" s="1375" t="str">
        <f>IF(Indice_index!$Z$1=1,"das quais:","of which:")</f>
        <v>das quais:</v>
      </c>
      <c r="D20" s="1369"/>
      <c r="E20" s="1369"/>
      <c r="F20" s="1370"/>
      <c r="G20" s="1371"/>
      <c r="H20" s="440"/>
      <c r="I20" s="440"/>
      <c r="J20" s="441"/>
      <c r="K20" s="215"/>
      <c r="L20" s="156"/>
      <c r="M20" s="157"/>
      <c r="N20" s="157"/>
      <c r="O20" s="158"/>
      <c r="P20" s="159"/>
      <c r="Q20" s="160"/>
      <c r="R20" s="160"/>
      <c r="S20" s="161"/>
      <c r="T20" s="161"/>
      <c r="U20" s="161"/>
      <c r="V20" s="111"/>
    </row>
    <row r="21" spans="3:22" ht="15" customHeight="1">
      <c r="C21" s="1376" t="str">
        <f>IF(Indice_index!$Z$1=1,"Transferências do OE","State Budget transfers")</f>
        <v>Transferências do OE</v>
      </c>
      <c r="D21" s="1369">
        <v>2651.5835529999999</v>
      </c>
      <c r="E21" s="1369">
        <v>2776.9878239999998</v>
      </c>
      <c r="F21" s="1370">
        <f t="shared" ref="F21:F33" si="1">IFERROR(IF(ABS((E21-D21)/D21)*100&gt;500,"n.r.",((E21-D21)/D21)*100),0)</f>
        <v>4.7294105010614347</v>
      </c>
      <c r="G21" s="1371">
        <f>IFERROR((E21-D21)/D43*100,"-")</f>
        <v>1.3145718539451199</v>
      </c>
      <c r="H21" s="440"/>
      <c r="I21" s="440"/>
      <c r="J21" s="441"/>
      <c r="K21" s="215"/>
      <c r="L21" s="156"/>
      <c r="M21" s="157"/>
      <c r="N21" s="157"/>
      <c r="O21" s="158"/>
      <c r="P21" s="159"/>
      <c r="Q21" s="160"/>
      <c r="R21" s="160"/>
      <c r="S21" s="161"/>
      <c r="T21" s="161"/>
      <c r="U21" s="161"/>
      <c r="V21" s="111"/>
    </row>
    <row r="22" spans="3:22" ht="15" customHeight="1">
      <c r="C22" s="1377" t="str">
        <f>IF(Indice_index!$Z$1=1,"Fundo de Equilíbrio Financeiro","Financial Balance Fund")</f>
        <v>Fundo de Equilíbrio Financeiro</v>
      </c>
      <c r="D22" s="1369">
        <v>1941.8446750000001</v>
      </c>
      <c r="E22" s="1369">
        <v>1929.126986</v>
      </c>
      <c r="F22" s="1370">
        <f t="shared" si="1"/>
        <v>-0.65492823209457074</v>
      </c>
      <c r="G22" s="1371">
        <f>IFERROR((E22-D22)/D43*100,"-")</f>
        <v>-0.13331536376960845</v>
      </c>
      <c r="H22" s="440"/>
      <c r="I22" s="440"/>
      <c r="J22" s="441"/>
      <c r="K22" s="215"/>
      <c r="L22" s="156"/>
      <c r="M22" s="157"/>
      <c r="N22" s="157"/>
      <c r="O22" s="158"/>
      <c r="P22" s="159"/>
      <c r="Q22" s="160"/>
      <c r="R22" s="160"/>
      <c r="S22" s="161"/>
      <c r="T22" s="161"/>
      <c r="U22" s="161"/>
      <c r="V22" s="111"/>
    </row>
    <row r="23" spans="3:22" ht="15" customHeight="1">
      <c r="C23" s="1377" t="str">
        <f>IF(Indice_index!$Z$1=1,"Fundo Social Municipal","Municipal Social Fund")</f>
        <v>Fundo Social Municipal</v>
      </c>
      <c r="D23" s="1369">
        <v>163.32596699999999</v>
      </c>
      <c r="E23" s="1369">
        <v>308.24602800000002</v>
      </c>
      <c r="F23" s="1370">
        <f t="shared" si="1"/>
        <v>88.730569707877521</v>
      </c>
      <c r="G23" s="1371">
        <f>IFERROR((E23-D23)/D43*100,"-")</f>
        <v>1.5191494814607238</v>
      </c>
      <c r="H23" s="440"/>
      <c r="I23" s="440"/>
      <c r="J23" s="441"/>
      <c r="K23" s="215"/>
      <c r="L23" s="156"/>
      <c r="M23" s="157"/>
      <c r="N23" s="157"/>
      <c r="O23" s="158"/>
      <c r="P23" s="159"/>
      <c r="Q23" s="160"/>
      <c r="R23" s="160"/>
      <c r="S23" s="161"/>
      <c r="T23" s="161"/>
      <c r="U23" s="161"/>
      <c r="V23" s="111"/>
    </row>
    <row r="24" spans="3:22" ht="15" customHeight="1">
      <c r="C24" s="1377" t="str">
        <f>IF(Indice_index!$Z$1=1,"Participação IRS","Personal income tax (IRS) participation")</f>
        <v>Participação IRS</v>
      </c>
      <c r="D24" s="1369">
        <v>489.40769299999999</v>
      </c>
      <c r="E24" s="1369">
        <v>497.45618899999999</v>
      </c>
      <c r="F24" s="1370">
        <f t="shared" si="1"/>
        <v>1.6445381049619097</v>
      </c>
      <c r="G24" s="1371">
        <f>IFERROR((E24-D24)/D43*100,"-")</f>
        <v>8.4369744537567556E-2</v>
      </c>
      <c r="H24" s="440"/>
      <c r="I24" s="440"/>
      <c r="J24" s="441"/>
      <c r="K24" s="215"/>
      <c r="L24" s="156"/>
      <c r="M24" s="157"/>
      <c r="N24" s="157"/>
      <c r="O24" s="158"/>
      <c r="P24" s="159"/>
      <c r="Q24" s="160"/>
      <c r="R24" s="160"/>
      <c r="S24" s="161"/>
      <c r="T24" s="161"/>
      <c r="U24" s="162"/>
      <c r="V24" s="111"/>
    </row>
    <row r="25" spans="3:22" ht="15" customHeight="1">
      <c r="C25" s="1377" t="str">
        <f>IF(Indice_index!$Z$1=1,"Participação no IVA","Value-added tax (IVA) participation")</f>
        <v>Participação no IVA</v>
      </c>
      <c r="D25" s="1369">
        <v>57.005217999999999</v>
      </c>
      <c r="E25" s="1369">
        <v>42.158620999999997</v>
      </c>
      <c r="F25" s="1370">
        <f t="shared" ref="F25" si="2">IFERROR(IF(ABS((E25-D25)/D25)*100&gt;500,"n.r.",((E25-D25)/D25)*100),0)</f>
        <v>-26.044277209851213</v>
      </c>
      <c r="G25" s="1371">
        <f>IFERROR((E25-D25)/D43*100,"-")</f>
        <v>-0.15563200828356216</v>
      </c>
      <c r="H25" s="440"/>
      <c r="I25" s="440"/>
      <c r="J25" s="441"/>
      <c r="K25" s="215"/>
      <c r="L25" s="156"/>
      <c r="M25" s="157"/>
      <c r="N25" s="157"/>
      <c r="O25" s="158"/>
      <c r="P25" s="159"/>
      <c r="Q25" s="160"/>
      <c r="R25" s="160"/>
      <c r="S25" s="161"/>
      <c r="T25" s="161"/>
      <c r="U25" s="162"/>
      <c r="V25" s="111"/>
    </row>
    <row r="26" spans="3:22" ht="15" customHeight="1">
      <c r="C26" s="1372" t="str">
        <f>IF(Indice_index!$Z$1=1,"Outros subsectores das AP","Other General Government subsectors")</f>
        <v>Outros subsectores das AP</v>
      </c>
      <c r="D26" s="1369">
        <v>7.80998397999997</v>
      </c>
      <c r="E26" s="1369">
        <v>9.9039384199999692</v>
      </c>
      <c r="F26" s="1370">
        <f t="shared" si="1"/>
        <v>26.811251410531156</v>
      </c>
      <c r="G26" s="1371">
        <f>IFERROR((E26-D26)/D43*100,"-")</f>
        <v>2.19502378054366E-2</v>
      </c>
      <c r="H26" s="440"/>
      <c r="I26" s="440"/>
      <c r="J26" s="441"/>
      <c r="K26" s="215"/>
      <c r="L26" s="156"/>
      <c r="M26" s="157"/>
      <c r="N26" s="157"/>
      <c r="O26" s="158"/>
      <c r="P26" s="159"/>
      <c r="Q26" s="160"/>
      <c r="R26" s="160"/>
      <c r="S26" s="161"/>
      <c r="T26" s="161"/>
      <c r="U26" s="161"/>
      <c r="V26" s="111"/>
    </row>
    <row r="27" spans="3:22" ht="15" customHeight="1">
      <c r="C27" s="1372" t="str">
        <f>IF(Indice_index!$Z$1=1,"União Europeia","European Union")</f>
        <v>União Europeia</v>
      </c>
      <c r="D27" s="1369">
        <v>74.593109936378397</v>
      </c>
      <c r="E27" s="1369">
        <v>128.68849237000865</v>
      </c>
      <c r="F27" s="1370">
        <f t="shared" si="1"/>
        <v>72.520615482809376</v>
      </c>
      <c r="G27" s="1371">
        <f>IFERROR((E27-D27)/D43*100,"-")</f>
        <v>0.56706415665577814</v>
      </c>
      <c r="H27" s="440"/>
      <c r="I27" s="440"/>
      <c r="J27" s="441"/>
      <c r="K27" s="215"/>
      <c r="L27" s="156"/>
      <c r="M27" s="157"/>
      <c r="N27" s="157"/>
      <c r="O27" s="158"/>
      <c r="P27" s="159"/>
      <c r="Q27" s="160"/>
      <c r="R27" s="160"/>
      <c r="S27" s="161"/>
      <c r="T27" s="161"/>
      <c r="U27" s="161"/>
      <c r="V27" s="111"/>
    </row>
    <row r="28" spans="3:22" ht="15" customHeight="1">
      <c r="C28" s="1372" t="str">
        <f>IF(Indice_index!$Z$1=1,"Outras transferências","Other transfers")</f>
        <v>Outras transferências</v>
      </c>
      <c r="D28" s="1369">
        <v>19.562393870000008</v>
      </c>
      <c r="E28" s="1369">
        <v>23.018939194479447</v>
      </c>
      <c r="F28" s="1370">
        <f t="shared" si="1"/>
        <v>17.669337134553039</v>
      </c>
      <c r="G28" s="1371">
        <f>IFERROR((E28-D28)/D43*100,"-")</f>
        <v>3.6233831265972405E-2</v>
      </c>
      <c r="H28" s="440"/>
      <c r="I28" s="440"/>
      <c r="J28" s="441"/>
      <c r="K28" s="215"/>
      <c r="L28" s="156"/>
      <c r="M28" s="157"/>
      <c r="N28" s="157"/>
      <c r="O28" s="158"/>
      <c r="P28" s="159"/>
      <c r="Q28" s="160"/>
      <c r="R28" s="160"/>
      <c r="S28" s="161"/>
      <c r="T28" s="161"/>
      <c r="U28" s="161"/>
      <c r="V28" s="111"/>
    </row>
    <row r="29" spans="3:22" ht="15" customHeight="1">
      <c r="C29" s="1368" t="str">
        <f>IF(Indice_index!$Z$1=1,"Outras receitas correntes","Other current revenue")</f>
        <v>Outras receitas correntes</v>
      </c>
      <c r="D29" s="1369">
        <v>1175.0651603679528</v>
      </c>
      <c r="E29" s="1369">
        <v>1318.193624073052</v>
      </c>
      <c r="F29" s="1370">
        <f t="shared" si="1"/>
        <v>12.180470371556314</v>
      </c>
      <c r="G29" s="1371">
        <f>IFERROR((E29-D29)/D43*100,"-")</f>
        <v>1.5003687544671362</v>
      </c>
      <c r="H29" s="440"/>
      <c r="I29" s="440"/>
      <c r="J29" s="441"/>
      <c r="K29" s="215"/>
      <c r="L29" s="156"/>
      <c r="M29" s="157"/>
      <c r="N29" s="157"/>
      <c r="O29" s="158"/>
      <c r="P29" s="159"/>
      <c r="Q29" s="160"/>
      <c r="R29" s="160"/>
      <c r="S29" s="161"/>
      <c r="T29" s="161"/>
      <c r="U29" s="161"/>
      <c r="V29" s="111"/>
    </row>
    <row r="30" spans="3:22" s="250" customFormat="1" ht="15" customHeight="1">
      <c r="C30" s="1378" t="str">
        <f>IF(Indice_index!$Z$1=1,"Receita de capital","Capital revenue")</f>
        <v>Receita de capital</v>
      </c>
      <c r="D30" s="1367">
        <v>1170.597761282464</v>
      </c>
      <c r="E30" s="1367">
        <v>995.23919700114857</v>
      </c>
      <c r="F30" s="301">
        <f t="shared" si="1"/>
        <v>-14.980257957199495</v>
      </c>
      <c r="G30" s="159">
        <f>IFERROR((E30-D30)/D43*100,"-")</f>
        <v>-1.8382263308435769</v>
      </c>
      <c r="H30" s="440"/>
      <c r="I30" s="440"/>
      <c r="J30" s="441"/>
      <c r="K30" s="309"/>
      <c r="L30" s="301"/>
      <c r="M30" s="310"/>
      <c r="N30" s="310"/>
      <c r="O30" s="159"/>
      <c r="P30" s="159"/>
      <c r="Q30" s="311"/>
      <c r="R30" s="311"/>
      <c r="S30" s="312"/>
      <c r="T30" s="312"/>
      <c r="U30" s="312"/>
      <c r="V30" s="313"/>
    </row>
    <row r="31" spans="3:22" ht="15" customHeight="1">
      <c r="C31" s="1368" t="str">
        <f>IF(Indice_index!$Z$1=1,"Venda de Bens de Investimento","Sale of investment goods")</f>
        <v>Venda de Bens de Investimento</v>
      </c>
      <c r="D31" s="1369">
        <v>73.343689155183725</v>
      </c>
      <c r="E31" s="1369">
        <v>45.493499286286429</v>
      </c>
      <c r="F31" s="1370">
        <f t="shared" si="1"/>
        <v>-37.972169370933429</v>
      </c>
      <c r="G31" s="1371">
        <f>IFERROR((E31-D31)/D43*100,"-")</f>
        <v>-0.29194440856547815</v>
      </c>
      <c r="H31" s="440"/>
      <c r="I31" s="440"/>
      <c r="J31" s="441"/>
      <c r="K31" s="215"/>
      <c r="L31" s="156"/>
      <c r="M31" s="157"/>
      <c r="N31" s="157"/>
      <c r="O31" s="158"/>
      <c r="P31" s="159"/>
      <c r="Q31" s="160"/>
      <c r="R31" s="160"/>
      <c r="S31" s="161"/>
      <c r="T31" s="161"/>
      <c r="U31" s="161"/>
      <c r="V31" s="111"/>
    </row>
    <row r="32" spans="3:22" ht="15" customHeight="1">
      <c r="C32" s="1368" t="str">
        <f>IF(Indice_index!$Z$1=1,"Transferências de Capital","Capital transfers")</f>
        <v>Transferências de Capital</v>
      </c>
      <c r="D32" s="1369">
        <v>1078.8280952480825</v>
      </c>
      <c r="E32" s="1369">
        <v>933.81856305245446</v>
      </c>
      <c r="F32" s="1370">
        <f t="shared" si="1"/>
        <v>-13.441393752568361</v>
      </c>
      <c r="G32" s="1371">
        <f>IFERROR((E32-D32)/D43*100,"-")</f>
        <v>-1.5200873786676807</v>
      </c>
      <c r="H32" s="440"/>
      <c r="I32" s="440"/>
      <c r="J32" s="441"/>
      <c r="K32" s="215"/>
      <c r="L32" s="156"/>
      <c r="M32" s="157"/>
      <c r="N32" s="157"/>
      <c r="O32" s="158"/>
      <c r="P32" s="159"/>
      <c r="Q32" s="160"/>
      <c r="R32" s="160"/>
      <c r="S32" s="161"/>
      <c r="T32" s="161"/>
      <c r="U32" s="161"/>
      <c r="V32" s="111"/>
    </row>
    <row r="33" spans="3:22" ht="15" customHeight="1">
      <c r="C33" s="1374" t="str">
        <f>IF(Indice_index!$Z$1=1,"Administração Central","Central Administration")</f>
        <v>Administração Central</v>
      </c>
      <c r="D33" s="1369">
        <v>446.21614179035879</v>
      </c>
      <c r="E33" s="1369">
        <v>365.89821414224622</v>
      </c>
      <c r="F33" s="1370">
        <f t="shared" si="1"/>
        <v>-17.99978085191</v>
      </c>
      <c r="G33" s="1371">
        <f>IFERROR((E33-D33)/D43*100,"-")</f>
        <v>-0.84194649999926596</v>
      </c>
      <c r="H33" s="440"/>
      <c r="I33" s="440"/>
      <c r="J33" s="441"/>
      <c r="K33" s="215"/>
      <c r="L33" s="156"/>
      <c r="M33" s="157"/>
      <c r="N33" s="157"/>
      <c r="O33" s="158"/>
      <c r="P33" s="159"/>
      <c r="Q33" s="160"/>
      <c r="R33" s="160"/>
      <c r="S33" s="161"/>
      <c r="T33" s="161"/>
      <c r="U33" s="161"/>
      <c r="V33" s="111"/>
    </row>
    <row r="34" spans="3:22" ht="15" customHeight="1">
      <c r="C34" s="1375" t="str">
        <f>IF(Indice_index!$Z$1=1,"das quais:","of which:")</f>
        <v>das quais:</v>
      </c>
      <c r="D34" s="1369"/>
      <c r="E34" s="1369"/>
      <c r="F34" s="1370"/>
      <c r="G34" s="1371"/>
      <c r="H34" s="440"/>
      <c r="I34" s="440"/>
      <c r="J34" s="441"/>
      <c r="K34" s="215"/>
      <c r="L34" s="156"/>
      <c r="M34" s="157"/>
      <c r="N34" s="157"/>
      <c r="O34" s="158"/>
      <c r="P34" s="159"/>
      <c r="Q34" s="160"/>
      <c r="R34" s="160"/>
      <c r="S34" s="161"/>
      <c r="T34" s="161"/>
      <c r="U34" s="161"/>
      <c r="V34" s="111"/>
    </row>
    <row r="35" spans="3:22" ht="15" customHeight="1">
      <c r="C35" s="1376" t="str">
        <f>IF(Indice_index!$Z$1=1,"Transferências do OE","State Budget transfers")</f>
        <v>Transferências do OE</v>
      </c>
      <c r="D35" s="1369">
        <v>387.27421214999998</v>
      </c>
      <c r="E35" s="1369">
        <v>265.71400370999999</v>
      </c>
      <c r="F35" s="1370">
        <f t="shared" ref="F35:F41" si="3">IFERROR(IF(ABS((E35-D35)/D35)*100&gt;500,"n.r.",((E35-D35)/D35)*100),0)</f>
        <v>-31.388665866788205</v>
      </c>
      <c r="G35" s="1371">
        <f>IFERROR((E35-D35)/D43*100,"-")</f>
        <v>-1.27427580656265</v>
      </c>
      <c r="H35" s="440"/>
      <c r="I35" s="440"/>
      <c r="J35" s="441"/>
      <c r="K35" s="215"/>
      <c r="L35" s="156"/>
      <c r="M35" s="157"/>
      <c r="N35" s="157"/>
      <c r="O35" s="158"/>
      <c r="P35" s="159"/>
      <c r="Q35" s="160"/>
      <c r="R35" s="160"/>
      <c r="S35" s="161"/>
      <c r="T35" s="161"/>
      <c r="U35" s="161"/>
      <c r="V35" s="111"/>
    </row>
    <row r="36" spans="3:22" ht="15" customHeight="1">
      <c r="C36" s="1377" t="str">
        <f>IF(Indice_index!$Z$1=1,"Fundo de Equilíbrio Financeiro","Financial Balance Fund")</f>
        <v>Fundo de Equilíbrio Financeiro</v>
      </c>
      <c r="D36" s="1369">
        <v>220.69769314999999</v>
      </c>
      <c r="E36" s="1369">
        <v>216.45138071</v>
      </c>
      <c r="F36" s="1370">
        <f t="shared" si="3"/>
        <v>-1.9240402468157818</v>
      </c>
      <c r="G36" s="1371">
        <f>IFERROR((E36-D36)/D43*100,"-")</f>
        <v>-4.4512700980344017E-2</v>
      </c>
      <c r="H36" s="440"/>
      <c r="I36" s="440"/>
      <c r="J36" s="441"/>
      <c r="K36" s="215"/>
      <c r="L36" s="156"/>
      <c r="M36" s="157"/>
      <c r="N36" s="157"/>
      <c r="O36" s="158"/>
      <c r="P36" s="159"/>
      <c r="Q36" s="160"/>
      <c r="R36" s="160"/>
      <c r="S36" s="161"/>
      <c r="T36" s="161"/>
      <c r="U36" s="161"/>
      <c r="V36" s="111"/>
    </row>
    <row r="37" spans="3:22" ht="15" customHeight="1">
      <c r="C37" s="1377" t="str">
        <f>IF(Indice_index!$Z$1=1,"Adicional 2018","Additional 2018")</f>
        <v>Adicional 2018</v>
      </c>
      <c r="D37" s="1369">
        <v>166.57651899999999</v>
      </c>
      <c r="E37" s="1369">
        <v>49.262622999999998</v>
      </c>
      <c r="F37" s="1370">
        <f t="shared" si="3"/>
        <v>-70.42643027016311</v>
      </c>
      <c r="G37" s="1371">
        <f>IFERROR((E37-D37)/D43*100,"-")</f>
        <v>-1.2297631055823062</v>
      </c>
      <c r="H37" s="440"/>
      <c r="I37" s="440"/>
      <c r="J37" s="441"/>
      <c r="K37" s="215"/>
      <c r="L37" s="156"/>
      <c r="M37" s="157"/>
      <c r="N37" s="157"/>
      <c r="O37" s="158"/>
      <c r="P37" s="159"/>
      <c r="Q37" s="160"/>
      <c r="R37" s="160"/>
      <c r="S37" s="161"/>
      <c r="T37" s="161"/>
      <c r="U37" s="161"/>
      <c r="V37" s="111"/>
    </row>
    <row r="38" spans="3:22" ht="15" customHeight="1">
      <c r="C38" s="1372" t="str">
        <f>IF(Indice_index!$Z$1=1,"Outros subsectores das AP","Other General Government subsectors")</f>
        <v>Outros subsectores das AP</v>
      </c>
      <c r="D38" s="1369">
        <v>11.523774090000316</v>
      </c>
      <c r="E38" s="1369">
        <v>8.1953823100003156</v>
      </c>
      <c r="F38" s="1370">
        <f t="shared" si="3"/>
        <v>-28.8828273966963</v>
      </c>
      <c r="G38" s="1371">
        <f>IFERROR((E38-D38)/D43*100,"-")</f>
        <v>-3.4890439679604715E-2</v>
      </c>
      <c r="H38" s="440"/>
      <c r="I38" s="440"/>
      <c r="J38" s="441"/>
      <c r="K38" s="215"/>
      <c r="L38" s="156"/>
      <c r="M38" s="157"/>
      <c r="N38" s="157"/>
      <c r="O38" s="158"/>
      <c r="P38" s="159"/>
      <c r="Q38" s="160"/>
      <c r="R38" s="160"/>
      <c r="S38" s="161"/>
      <c r="T38" s="161"/>
      <c r="U38" s="161"/>
      <c r="V38" s="111"/>
    </row>
    <row r="39" spans="3:22" ht="15" customHeight="1">
      <c r="C39" s="1372" t="str">
        <f>IF(Indice_index!$Z$1=1,"União Europeia","European Union")</f>
        <v>União Europeia</v>
      </c>
      <c r="D39" s="1369">
        <v>612.20955104772338</v>
      </c>
      <c r="E39" s="1369">
        <v>550.42258731702395</v>
      </c>
      <c r="F39" s="1370">
        <f t="shared" si="3"/>
        <v>-10.092453413207689</v>
      </c>
      <c r="G39" s="1371">
        <f>IFERROR((E39-D39)/D43*100,"-")</f>
        <v>-0.64769248139168634</v>
      </c>
      <c r="H39" s="440"/>
      <c r="I39" s="440"/>
      <c r="J39" s="441"/>
      <c r="K39" s="215"/>
      <c r="L39" s="156"/>
      <c r="M39" s="157"/>
      <c r="N39" s="157"/>
      <c r="O39" s="158"/>
      <c r="P39" s="159"/>
      <c r="Q39" s="160"/>
      <c r="R39" s="160"/>
      <c r="S39" s="161"/>
      <c r="T39" s="161"/>
      <c r="U39" s="161"/>
      <c r="V39" s="111"/>
    </row>
    <row r="40" spans="3:22" ht="15" customHeight="1">
      <c r="C40" s="1372" t="str">
        <f>IF(Indice_index!$Z$1=1,"Outras transferências","Other transfers")</f>
        <v>Outras transferências</v>
      </c>
      <c r="D40" s="1369">
        <v>8.8786283200000007</v>
      </c>
      <c r="E40" s="1369">
        <v>9.3023792831840009</v>
      </c>
      <c r="F40" s="1370">
        <f t="shared" si="3"/>
        <v>4.7727075389501179</v>
      </c>
      <c r="G40" s="1371">
        <f>IFERROR((E40-D40)/D43*100,"-")</f>
        <v>4.4420424028765492E-3</v>
      </c>
      <c r="H40" s="440"/>
      <c r="I40" s="440"/>
      <c r="J40" s="441"/>
      <c r="K40" s="215"/>
      <c r="L40" s="156"/>
      <c r="M40" s="157"/>
      <c r="N40" s="157"/>
      <c r="O40" s="158"/>
      <c r="P40" s="159"/>
      <c r="Q40" s="160"/>
      <c r="R40" s="160"/>
      <c r="S40" s="161"/>
      <c r="T40" s="161"/>
      <c r="U40" s="161"/>
      <c r="V40" s="111"/>
    </row>
    <row r="41" spans="3:22" ht="15" customHeight="1">
      <c r="C41" s="1368" t="str">
        <f>IF(Indice_index!$Z$1=1,"Outras receitas de capital","Other capital revenue")</f>
        <v>Outras receitas de capital</v>
      </c>
      <c r="D41" s="1369">
        <v>18.425976879197947</v>
      </c>
      <c r="E41" s="1369">
        <v>15.927134662407646</v>
      </c>
      <c r="F41" s="1370">
        <f t="shared" si="3"/>
        <v>-13.561518247704822</v>
      </c>
      <c r="G41" s="1371">
        <f>IFERROR((E41-D41)/D43*100,"-")</f>
        <v>-2.6194543610419476E-2</v>
      </c>
      <c r="H41" s="440"/>
      <c r="I41" s="440"/>
      <c r="J41" s="441"/>
      <c r="K41" s="215"/>
      <c r="L41" s="156"/>
      <c r="M41" s="157"/>
      <c r="N41" s="157"/>
      <c r="O41" s="158"/>
      <c r="P41" s="159"/>
      <c r="Q41" s="160"/>
      <c r="R41" s="160"/>
      <c r="S41" s="161"/>
      <c r="T41" s="161"/>
      <c r="U41" s="161"/>
      <c r="V41" s="111"/>
    </row>
    <row r="42" spans="3:22" ht="4.5" customHeight="1">
      <c r="C42" s="1368"/>
      <c r="D42" s="1369"/>
      <c r="E42" s="1369"/>
      <c r="F42" s="1379"/>
      <c r="G42" s="1380"/>
      <c r="H42" s="440"/>
      <c r="I42" s="440"/>
      <c r="J42" s="441"/>
      <c r="K42" s="215"/>
      <c r="L42" s="156"/>
      <c r="M42" s="157"/>
      <c r="N42" s="157"/>
      <c r="O42" s="158"/>
      <c r="P42" s="159"/>
      <c r="Q42" s="160"/>
      <c r="R42" s="160"/>
      <c r="S42" s="161"/>
      <c r="T42" s="161"/>
      <c r="U42" s="161"/>
      <c r="V42" s="111"/>
    </row>
    <row r="43" spans="3:22" s="250" customFormat="1" ht="15" customHeight="1">
      <c r="C43" s="1378" t="str">
        <f>IF(Indice_index!$Z$1=1,"Receita Efetiva","Effective revenue")</f>
        <v>Receita Efetiva</v>
      </c>
      <c r="D43" s="1367">
        <v>9539.5524119623515</v>
      </c>
      <c r="E43" s="1367">
        <v>10565.213290538872</v>
      </c>
      <c r="F43" s="301">
        <f>IFERROR(IF(ABS((E43-D43)/D43)*100&gt;500,"n.r.",((E43-D43)/D43)*100),0)</f>
        <v>10.751666685015202</v>
      </c>
      <c r="G43" s="1381">
        <f>IFERROR((E43-D43)/D43*100,"-")</f>
        <v>10.751666685015202</v>
      </c>
      <c r="H43" s="440"/>
      <c r="I43" s="440"/>
      <c r="J43" s="441"/>
      <c r="K43" s="309"/>
      <c r="L43" s="301"/>
      <c r="M43" s="310"/>
      <c r="N43" s="310"/>
      <c r="O43" s="159"/>
      <c r="P43" s="159"/>
      <c r="Q43" s="311"/>
      <c r="R43" s="311"/>
      <c r="S43" s="312"/>
      <c r="T43" s="312"/>
      <c r="U43" s="312"/>
      <c r="V43" s="313"/>
    </row>
    <row r="44" spans="3:22" ht="4.5" customHeight="1">
      <c r="C44" s="1127"/>
      <c r="D44" s="1369"/>
      <c r="E44" s="1369"/>
      <c r="F44" s="1370"/>
      <c r="G44" s="1380"/>
      <c r="H44" s="440"/>
      <c r="I44" s="440"/>
      <c r="J44" s="441"/>
      <c r="K44" s="215"/>
      <c r="L44" s="156"/>
      <c r="M44" s="157"/>
      <c r="N44" s="157"/>
      <c r="O44" s="158"/>
      <c r="P44" s="159"/>
      <c r="Q44" s="160"/>
      <c r="R44" s="160"/>
      <c r="S44" s="161"/>
      <c r="T44" s="161"/>
      <c r="U44" s="161"/>
      <c r="V44" s="111"/>
    </row>
    <row r="45" spans="3:22" s="250" customFormat="1" ht="15" customHeight="1">
      <c r="C45" s="1382" t="str">
        <f>IF(Indice_index!$Z$1=1,"Despesa Corrente","Current expenditure")</f>
        <v>Despesa Corrente</v>
      </c>
      <c r="D45" s="1367">
        <v>6735.50439696996</v>
      </c>
      <c r="E45" s="1367">
        <v>7461.4232249051838</v>
      </c>
      <c r="F45" s="301">
        <f t="shared" ref="F45:F62" si="4">IFERROR(IF(ABS((E45-D45)/D45)*100&gt;500,"n.r.",((E45-D45)/D45)*100),0)</f>
        <v>10.777497647567216</v>
      </c>
      <c r="G45" s="1381">
        <f>IFERROR((E45-D45)/D64*100,"-")</f>
        <v>7.6412336109360117</v>
      </c>
      <c r="H45" s="440"/>
      <c r="I45" s="440"/>
      <c r="J45" s="441"/>
      <c r="K45" s="309"/>
      <c r="L45" s="301"/>
      <c r="M45" s="310"/>
      <c r="N45" s="310"/>
      <c r="O45" s="159"/>
      <c r="P45" s="159"/>
      <c r="Q45" s="311"/>
      <c r="R45" s="311"/>
      <c r="S45" s="312"/>
      <c r="T45" s="312"/>
      <c r="U45" s="312"/>
      <c r="V45" s="313"/>
    </row>
    <row r="46" spans="3:22" ht="15" customHeight="1">
      <c r="C46" s="1368" t="str">
        <f>IF(Indice_index!$Z$1=1,"Despesas com o pessoal","Employees")</f>
        <v>Despesas com o pessoal</v>
      </c>
      <c r="D46" s="1369">
        <v>2953.0114569057359</v>
      </c>
      <c r="E46" s="1369">
        <v>3271.6218372414005</v>
      </c>
      <c r="F46" s="1370">
        <f t="shared" si="4"/>
        <v>10.789337765371055</v>
      </c>
      <c r="G46" s="1380">
        <f>IFERROR((E46-D46)/D64*100,"-")</f>
        <v>3.3537859238873904</v>
      </c>
      <c r="H46" s="440"/>
      <c r="I46" s="440"/>
      <c r="J46" s="441"/>
      <c r="K46" s="215"/>
      <c r="L46" s="156"/>
      <c r="M46" s="157"/>
      <c r="N46" s="157"/>
      <c r="O46" s="158"/>
      <c r="P46" s="159"/>
      <c r="Q46" s="160"/>
      <c r="R46" s="160"/>
      <c r="S46" s="161"/>
      <c r="T46" s="161"/>
      <c r="U46" s="161"/>
      <c r="V46" s="111"/>
    </row>
    <row r="47" spans="3:22" ht="15" customHeight="1">
      <c r="C47" s="811" t="str">
        <f>IF(Indice_index!$Z$1=1,"Remunerações Certas e Permanentes","Certain and permanent wages")</f>
        <v>Remunerações Certas e Permanentes</v>
      </c>
      <c r="D47" s="1369">
        <v>2186.3222718344928</v>
      </c>
      <c r="E47" s="1369">
        <v>2431.3007359813937</v>
      </c>
      <c r="F47" s="1370">
        <f t="shared" si="4"/>
        <v>11.205048189960811</v>
      </c>
      <c r="G47" s="1380">
        <f>IFERROR((E47-D47)/D64*100,"-")</f>
        <v>2.5787148675000635</v>
      </c>
      <c r="H47" s="440"/>
      <c r="I47" s="440"/>
      <c r="J47" s="441"/>
      <c r="K47" s="215"/>
      <c r="L47" s="156"/>
      <c r="M47" s="157"/>
      <c r="N47" s="157"/>
      <c r="O47" s="158"/>
      <c r="P47" s="159"/>
      <c r="Q47" s="160"/>
      <c r="R47" s="160"/>
      <c r="S47" s="161"/>
      <c r="T47" s="161"/>
      <c r="U47" s="161"/>
      <c r="V47" s="111"/>
    </row>
    <row r="48" spans="3:22" ht="15" customHeight="1">
      <c r="C48" s="811" t="str">
        <f>IF(Indice_index!$Z$1=1,"Abonos Variáveis ou Eventuais","Variable or contingent bonuses")</f>
        <v>Abonos Variáveis ou Eventuais</v>
      </c>
      <c r="D48" s="1369">
        <v>121.4719545247204</v>
      </c>
      <c r="E48" s="1369">
        <v>139.57425447265979</v>
      </c>
      <c r="F48" s="1370">
        <f t="shared" si="4"/>
        <v>14.902452190522251</v>
      </c>
      <c r="G48" s="1380">
        <f>IFERROR((E48-D48)/D64*100,"-")</f>
        <v>0.19055009661463523</v>
      </c>
      <c r="H48" s="440"/>
      <c r="I48" s="440"/>
      <c r="J48" s="441"/>
      <c r="K48" s="215"/>
      <c r="L48" s="156"/>
      <c r="M48" s="157"/>
      <c r="N48" s="157"/>
      <c r="O48" s="158"/>
      <c r="P48" s="159"/>
      <c r="Q48" s="160"/>
      <c r="R48" s="160"/>
      <c r="S48" s="161"/>
      <c r="T48" s="161"/>
      <c r="U48" s="161"/>
      <c r="V48" s="111"/>
    </row>
    <row r="49" spans="3:22" ht="15" customHeight="1">
      <c r="C49" s="811" t="str">
        <f>IF(Indice_index!$Z$1=1,"Segurança social","Social security")</f>
        <v>Segurança social</v>
      </c>
      <c r="D49" s="1369">
        <v>645.21723054652307</v>
      </c>
      <c r="E49" s="1369">
        <v>700.74684678734661</v>
      </c>
      <c r="F49" s="1370">
        <f t="shared" si="4"/>
        <v>8.6063442840464575</v>
      </c>
      <c r="G49" s="1380">
        <f>IFERROR((E49-D49)/D64*100,"-")</f>
        <v>0.58452095977268426</v>
      </c>
      <c r="H49" s="440"/>
      <c r="I49" s="440"/>
      <c r="J49" s="441"/>
      <c r="K49" s="215"/>
      <c r="L49" s="156"/>
      <c r="M49" s="157"/>
      <c r="N49" s="157"/>
      <c r="O49" s="158"/>
      <c r="P49" s="159"/>
      <c r="Q49" s="160"/>
      <c r="R49" s="160"/>
      <c r="S49" s="161"/>
      <c r="T49" s="161"/>
      <c r="U49" s="161"/>
      <c r="V49" s="111"/>
    </row>
    <row r="50" spans="3:22" ht="15" customHeight="1">
      <c r="C50" s="1368" t="str">
        <f>IF(Indice_index!$Z$1=1,"Aquisição de bens e serviços","Purchase of goods and services")</f>
        <v>Aquisição de bens e serviços</v>
      </c>
      <c r="D50" s="1369">
        <v>2391.6350588485461</v>
      </c>
      <c r="E50" s="1369">
        <v>2727.8225866672642</v>
      </c>
      <c r="F50" s="1370">
        <f t="shared" si="4"/>
        <v>14.056807144338137</v>
      </c>
      <c r="G50" s="1380">
        <f>IFERROR((E50-D50)/D64*100,"-")</f>
        <v>3.5388081122688617</v>
      </c>
      <c r="H50" s="440"/>
      <c r="I50" s="440"/>
      <c r="J50" s="441"/>
      <c r="K50" s="215"/>
      <c r="L50" s="156"/>
      <c r="M50" s="157"/>
      <c r="N50" s="157"/>
      <c r="O50" s="158"/>
      <c r="P50" s="159"/>
      <c r="Q50" s="160"/>
      <c r="R50" s="160"/>
      <c r="S50" s="161"/>
      <c r="T50" s="161"/>
      <c r="U50" s="161"/>
      <c r="V50" s="111"/>
    </row>
    <row r="51" spans="3:22" ht="15" customHeight="1">
      <c r="C51" s="1368" t="str">
        <f>IF(Indice_index!$Z$1=1,"Juros e outros encargos","Interests and other charges")</f>
        <v>Juros e outros encargos</v>
      </c>
      <c r="D51" s="1369">
        <v>35.895749970264475</v>
      </c>
      <c r="E51" s="1369">
        <v>32.852205525181368</v>
      </c>
      <c r="F51" s="1370">
        <f t="shared" si="4"/>
        <v>-8.4788434497240903</v>
      </c>
      <c r="G51" s="1380">
        <f>IFERROR((E51-D51)/D64*100,"-")</f>
        <v>-3.2037237794611768E-2</v>
      </c>
      <c r="H51" s="440"/>
      <c r="I51" s="440"/>
      <c r="J51" s="441"/>
      <c r="K51" s="215"/>
      <c r="L51" s="156"/>
      <c r="M51" s="157"/>
      <c r="N51" s="157"/>
      <c r="O51" s="158"/>
      <c r="P51" s="159"/>
      <c r="Q51" s="160"/>
      <c r="R51" s="160"/>
      <c r="S51" s="161"/>
      <c r="T51" s="161"/>
      <c r="U51" s="161"/>
      <c r="V51" s="111"/>
    </row>
    <row r="52" spans="3:22" ht="15" customHeight="1">
      <c r="C52" s="1368" t="str">
        <f>IF(Indice_index!$Z$1=1,"Transferências correntes","Current transfers")</f>
        <v>Transferências correntes</v>
      </c>
      <c r="D52" s="1369">
        <v>1009.8653821131059</v>
      </c>
      <c r="E52" s="1369">
        <v>1025.8255958157231</v>
      </c>
      <c r="F52" s="1370">
        <f t="shared" si="4"/>
        <v>1.5804298261240608</v>
      </c>
      <c r="G52" s="1380">
        <f>IFERROR((E52-D52)/D64*100,"-")</f>
        <v>0.16800187113075246</v>
      </c>
      <c r="H52" s="440"/>
      <c r="I52" s="440"/>
      <c r="J52" s="441"/>
      <c r="K52" s="215"/>
      <c r="L52" s="156"/>
      <c r="M52" s="157"/>
      <c r="N52" s="157"/>
      <c r="O52" s="158"/>
      <c r="P52" s="159"/>
      <c r="Q52" s="160"/>
      <c r="R52" s="160"/>
      <c r="S52" s="161"/>
      <c r="T52" s="161"/>
      <c r="U52" s="161"/>
      <c r="V52" s="111"/>
    </row>
    <row r="53" spans="3:22" ht="15" customHeight="1">
      <c r="C53" s="1372" t="str">
        <f>IF(Indice_index!$Z$1=1,"Subsectores das AP","General Government subsectors")</f>
        <v>Subsectores das AP</v>
      </c>
      <c r="D53" s="1369">
        <v>431.7370724500006</v>
      </c>
      <c r="E53" s="1369">
        <v>465.01176088000062</v>
      </c>
      <c r="F53" s="1370">
        <f t="shared" si="4"/>
        <v>7.7071649745467621</v>
      </c>
      <c r="G53" s="1380">
        <f>IFERROR((E53-D53)/D64*100,"-")</f>
        <v>0.35025908936395334</v>
      </c>
      <c r="H53" s="440"/>
      <c r="I53" s="440"/>
      <c r="J53" s="441"/>
      <c r="K53" s="215"/>
      <c r="L53" s="156"/>
      <c r="M53" s="157"/>
      <c r="N53" s="157"/>
      <c r="O53" s="158"/>
      <c r="P53" s="159"/>
      <c r="Q53" s="160"/>
      <c r="R53" s="160"/>
      <c r="S53" s="161"/>
      <c r="T53" s="161"/>
      <c r="U53" s="161"/>
      <c r="V53" s="111"/>
    </row>
    <row r="54" spans="3:22" ht="15" customHeight="1">
      <c r="C54" s="1372" t="str">
        <f>IF(Indice_index!$Z$1=1,"Outras transferências","Other transfers")</f>
        <v>Outras transferências</v>
      </c>
      <c r="D54" s="1369">
        <v>578.12830966310526</v>
      </c>
      <c r="E54" s="1369">
        <v>560.81383493572253</v>
      </c>
      <c r="F54" s="1370">
        <f t="shared" si="4"/>
        <v>-2.9949190236804797</v>
      </c>
      <c r="G54" s="1380">
        <f>IFERROR((E54-D54)/D64*100,"-")</f>
        <v>-0.18225721823320029</v>
      </c>
      <c r="H54" s="440"/>
      <c r="I54" s="440"/>
      <c r="J54" s="441"/>
      <c r="K54" s="215"/>
      <c r="L54" s="156"/>
      <c r="M54" s="157"/>
      <c r="N54" s="157"/>
      <c r="O54" s="158"/>
      <c r="P54" s="159"/>
      <c r="Q54" s="160"/>
      <c r="R54" s="160"/>
      <c r="S54" s="161"/>
      <c r="T54" s="161"/>
      <c r="U54" s="161"/>
      <c r="V54" s="111"/>
    </row>
    <row r="55" spans="3:22" ht="15" customHeight="1">
      <c r="C55" s="1368" t="str">
        <f>IF(Indice_index!$Z$1=1,"Subsídios","Subsidies")</f>
        <v>Subsídios</v>
      </c>
      <c r="D55" s="1369">
        <v>244.53491188227005</v>
      </c>
      <c r="E55" s="1369">
        <v>277.73579897470711</v>
      </c>
      <c r="F55" s="1370">
        <f t="shared" si="4"/>
        <v>13.577156258334774</v>
      </c>
      <c r="G55" s="1380">
        <f>IFERROR((E55-D55)/D64*100,"-")</f>
        <v>0.34948223492869612</v>
      </c>
      <c r="H55" s="440"/>
      <c r="I55" s="440"/>
      <c r="J55" s="441"/>
      <c r="K55" s="215"/>
      <c r="L55" s="156"/>
      <c r="M55" s="157"/>
      <c r="N55" s="157"/>
      <c r="O55" s="158"/>
      <c r="P55" s="159"/>
      <c r="Q55" s="160"/>
      <c r="R55" s="160"/>
      <c r="S55" s="161"/>
      <c r="T55" s="161"/>
      <c r="U55" s="161"/>
      <c r="V55" s="111"/>
    </row>
    <row r="56" spans="3:22" ht="15" customHeight="1">
      <c r="C56" s="1368" t="str">
        <f>IF(Indice_index!$Z$1=1,"Outras despesas correntes","Other current expenditure")</f>
        <v>Outras despesas correntes</v>
      </c>
      <c r="D56" s="1369">
        <v>100.56183725003744</v>
      </c>
      <c r="E56" s="1369">
        <v>125.56520068090775</v>
      </c>
      <c r="F56" s="1370">
        <f t="shared" si="4"/>
        <v>24.86367007068678</v>
      </c>
      <c r="G56" s="1380">
        <f>IFERROR((E56-D56)/D64*100,"-")</f>
        <v>0.26319270651492621</v>
      </c>
      <c r="H56" s="440"/>
      <c r="I56" s="440"/>
      <c r="J56" s="441"/>
      <c r="K56" s="215"/>
      <c r="L56" s="156"/>
      <c r="M56" s="157"/>
      <c r="N56" s="157"/>
      <c r="O56" s="158"/>
      <c r="P56" s="159"/>
      <c r="Q56" s="160"/>
      <c r="R56" s="160"/>
      <c r="S56" s="161"/>
      <c r="T56" s="161"/>
      <c r="U56" s="161"/>
      <c r="V56" s="111"/>
    </row>
    <row r="57" spans="3:22" s="250" customFormat="1" ht="15" customHeight="1">
      <c r="C57" s="1382" t="str">
        <f>IF(Indice_index!$Z$1=1,"Despesa de Capital","Capital expenditure")</f>
        <v>Despesa de Capital</v>
      </c>
      <c r="D57" s="1367">
        <v>2764.5169987415957</v>
      </c>
      <c r="E57" s="1367">
        <v>2687.1459206062364</v>
      </c>
      <c r="F57" s="301">
        <f t="shared" si="4"/>
        <v>-2.7987195655001766</v>
      </c>
      <c r="G57" s="1381">
        <f>IFERROR((E57-D57)/D64*100,"-")</f>
        <v>-0.81443056718046669</v>
      </c>
      <c r="H57" s="440"/>
      <c r="I57" s="440"/>
      <c r="J57" s="441"/>
      <c r="K57" s="309"/>
      <c r="L57" s="301"/>
      <c r="M57" s="310"/>
      <c r="N57" s="310"/>
      <c r="O57" s="159"/>
      <c r="P57" s="159"/>
      <c r="Q57" s="311"/>
      <c r="R57" s="311"/>
      <c r="S57" s="312"/>
      <c r="T57" s="312"/>
      <c r="U57" s="312"/>
      <c r="V57" s="313"/>
    </row>
    <row r="58" spans="3:22" ht="15" customHeight="1">
      <c r="C58" s="1368" t="str">
        <f>IF(Indice_index!$Z$1=1,"Aquisição de bens de capital","Purchase of capital goods")</f>
        <v>Aquisição de bens de capital</v>
      </c>
      <c r="D58" s="1369">
        <v>2423.9591795484989</v>
      </c>
      <c r="E58" s="1369">
        <v>2338.6032817975824</v>
      </c>
      <c r="F58" s="1370">
        <f t="shared" si="4"/>
        <v>-3.5213422103426422</v>
      </c>
      <c r="G58" s="1380">
        <f>IFERROR((E58-D58)/D64*100,"-")</f>
        <v>-0.89848111067883862</v>
      </c>
      <c r="H58" s="440"/>
      <c r="I58" s="440"/>
      <c r="J58" s="441"/>
      <c r="K58" s="215"/>
      <c r="L58" s="156"/>
      <c r="M58" s="157"/>
      <c r="N58" s="157"/>
      <c r="O58" s="158"/>
      <c r="P58" s="159"/>
      <c r="Q58" s="160"/>
      <c r="R58" s="160"/>
      <c r="S58" s="161"/>
      <c r="T58" s="161"/>
      <c r="U58" s="161"/>
      <c r="V58" s="111"/>
    </row>
    <row r="59" spans="3:22" ht="15" customHeight="1">
      <c r="C59" s="1368" t="str">
        <f>IF(Indice_index!$Z$1=1,"Transferências de capital","Capital transfers")</f>
        <v>Transferências de capital</v>
      </c>
      <c r="D59" s="1369">
        <v>325.81475190309686</v>
      </c>
      <c r="E59" s="1369">
        <v>333.95523981034739</v>
      </c>
      <c r="F59" s="1370">
        <f t="shared" si="4"/>
        <v>2.4985019431138764</v>
      </c>
      <c r="G59" s="1380">
        <f>IFERROR((E59-D59)/D64*100,"-")</f>
        <v>8.5689153404699306E-2</v>
      </c>
      <c r="H59" s="440"/>
      <c r="I59" s="440"/>
      <c r="J59" s="441"/>
      <c r="K59" s="215"/>
      <c r="L59" s="156"/>
      <c r="M59" s="157"/>
      <c r="N59" s="157"/>
      <c r="O59" s="158"/>
      <c r="P59" s="159"/>
      <c r="Q59" s="160"/>
      <c r="R59" s="160"/>
      <c r="S59" s="161"/>
      <c r="T59" s="161"/>
      <c r="U59" s="161"/>
      <c r="V59" s="111"/>
    </row>
    <row r="60" spans="3:22" ht="15" customHeight="1">
      <c r="C60" s="1372" t="str">
        <f>IF(Indice_index!$Z$1=1,"Subsectores das AP","General Government subsectors")</f>
        <v>Subsectores das AP</v>
      </c>
      <c r="D60" s="1369">
        <v>186.19823177000006</v>
      </c>
      <c r="E60" s="1369">
        <v>185.15620297000007</v>
      </c>
      <c r="F60" s="1370">
        <f t="shared" si="4"/>
        <v>-0.55963410076157716</v>
      </c>
      <c r="G60" s="1380">
        <f>IFERROR((E60-D60)/D64*100,"-")</f>
        <v>-1.0968699507038833E-2</v>
      </c>
      <c r="H60" s="440"/>
      <c r="I60" s="440"/>
      <c r="J60" s="441"/>
      <c r="K60" s="215"/>
      <c r="L60" s="156"/>
      <c r="M60" s="157"/>
      <c r="N60" s="157"/>
      <c r="O60" s="158"/>
      <c r="P60" s="159"/>
      <c r="Q60" s="160"/>
      <c r="R60" s="160"/>
      <c r="S60" s="161"/>
      <c r="T60" s="161"/>
      <c r="U60" s="161"/>
      <c r="V60" s="111"/>
    </row>
    <row r="61" spans="3:22" ht="15" customHeight="1">
      <c r="C61" s="1372" t="str">
        <f>IF(Indice_index!$Z$1=1,"Outras transferências","Other transfers")</f>
        <v>Outras transferências</v>
      </c>
      <c r="D61" s="1369">
        <v>139.61652013309677</v>
      </c>
      <c r="E61" s="1369">
        <v>148.7990368403473</v>
      </c>
      <c r="F61" s="1370">
        <f t="shared" si="4"/>
        <v>6.5769557202090505</v>
      </c>
      <c r="G61" s="1380">
        <f>IFERROR((E61-D61)/D64*100,"-")</f>
        <v>9.6657852911738132E-2</v>
      </c>
      <c r="H61" s="440"/>
      <c r="I61" s="440"/>
      <c r="J61" s="441"/>
      <c r="K61" s="215"/>
      <c r="L61" s="156"/>
      <c r="M61" s="157"/>
      <c r="N61" s="157"/>
      <c r="O61" s="158"/>
      <c r="P61" s="159"/>
      <c r="Q61" s="160"/>
      <c r="R61" s="160"/>
      <c r="S61" s="161"/>
      <c r="T61" s="161"/>
      <c r="U61" s="161"/>
      <c r="V61" s="111"/>
    </row>
    <row r="62" spans="3:22" ht="15" customHeight="1">
      <c r="C62" s="1368" t="str">
        <f>IF(Indice_index!$Z$1=1,"Outras despesas de capital","Other capital expenditure")</f>
        <v>Outras despesas de capital</v>
      </c>
      <c r="D62" s="1369">
        <v>14.743067289999999</v>
      </c>
      <c r="E62" s="1369">
        <v>14.587398998306298</v>
      </c>
      <c r="F62" s="1370">
        <f t="shared" si="4"/>
        <v>-1.0558745248303121</v>
      </c>
      <c r="G62" s="1380">
        <f>IFERROR((E62-D62)/D64*100,"-")</f>
        <v>-1.6386099063310695E-3</v>
      </c>
      <c r="H62" s="440"/>
      <c r="I62" s="440"/>
      <c r="J62" s="441"/>
      <c r="K62" s="215"/>
      <c r="L62" s="156"/>
      <c r="M62" s="157"/>
      <c r="N62" s="157"/>
      <c r="O62" s="158"/>
      <c r="P62" s="159"/>
      <c r="Q62" s="160"/>
      <c r="R62" s="160"/>
      <c r="S62" s="161"/>
      <c r="T62" s="161"/>
      <c r="U62" s="161"/>
      <c r="V62" s="111"/>
    </row>
    <row r="63" spans="3:22" ht="4.5" customHeight="1">
      <c r="C63" s="1368"/>
      <c r="D63" s="1369"/>
      <c r="E63" s="1369"/>
      <c r="F63" s="1370"/>
      <c r="G63" s="1380"/>
      <c r="H63" s="440"/>
      <c r="I63" s="440"/>
      <c r="J63" s="441"/>
      <c r="K63" s="215"/>
      <c r="L63" s="156"/>
      <c r="M63" s="157"/>
      <c r="N63" s="157"/>
      <c r="O63" s="158"/>
      <c r="P63" s="159"/>
      <c r="Q63" s="160"/>
      <c r="R63" s="160"/>
      <c r="S63" s="161"/>
      <c r="T63" s="161"/>
      <c r="U63" s="161"/>
      <c r="V63" s="111"/>
    </row>
    <row r="64" spans="3:22" s="250" customFormat="1" ht="15" customHeight="1">
      <c r="C64" s="1382" t="str">
        <f>IF(Indice_index!$Z$1=1,"Despesa efetiva","Effective expenditure")</f>
        <v>Despesa efetiva</v>
      </c>
      <c r="D64" s="1367">
        <v>9500.0213957115557</v>
      </c>
      <c r="E64" s="1367">
        <v>10148.569145511421</v>
      </c>
      <c r="F64" s="301">
        <f>IFERROR(IF(ABS((E64-D64)/D64)*100&gt;500,"n.r.",((E64-D64)/D64)*100),0)</f>
        <v>6.8268030437555538</v>
      </c>
      <c r="G64" s="1381">
        <f>IFERROR((E64-D64)/D64*100,"-")</f>
        <v>6.8268030437555538</v>
      </c>
      <c r="H64" s="440"/>
      <c r="I64" s="440"/>
      <c r="J64" s="441"/>
      <c r="K64" s="309"/>
      <c r="L64" s="301"/>
      <c r="M64" s="310"/>
      <c r="N64" s="310"/>
      <c r="O64" s="159"/>
      <c r="P64" s="159"/>
      <c r="Q64" s="311"/>
      <c r="R64" s="311"/>
      <c r="S64" s="312"/>
      <c r="T64" s="312"/>
      <c r="U64" s="312"/>
      <c r="V64" s="313"/>
    </row>
    <row r="65" spans="3:22" ht="4.5" customHeight="1">
      <c r="C65" s="1127"/>
      <c r="D65" s="1369"/>
      <c r="E65" s="1369"/>
      <c r="F65" s="1383"/>
      <c r="G65" s="1380"/>
      <c r="H65" s="440"/>
      <c r="I65" s="440"/>
      <c r="J65" s="441"/>
      <c r="K65" s="215"/>
      <c r="L65" s="156"/>
      <c r="M65" s="157"/>
      <c r="N65" s="157"/>
      <c r="O65" s="158"/>
      <c r="P65" s="159"/>
      <c r="Q65" s="160"/>
      <c r="R65" s="160"/>
      <c r="S65" s="161"/>
      <c r="T65" s="161"/>
      <c r="U65" s="161"/>
      <c r="V65" s="111"/>
    </row>
    <row r="66" spans="3:22" s="250" customFormat="1" ht="15" customHeight="1">
      <c r="C66" s="1384" t="str">
        <f>IF(Indice_index!$Z$1=1,"Saldo global","Overall balance")</f>
        <v>Saldo global</v>
      </c>
      <c r="D66" s="1385">
        <v>39.531016250795801</v>
      </c>
      <c r="E66" s="1385">
        <v>416.64414502745058</v>
      </c>
      <c r="F66" s="1386"/>
      <c r="G66" s="1386"/>
      <c r="H66" s="440"/>
      <c r="I66" s="440"/>
      <c r="J66" s="439"/>
      <c r="K66" s="309"/>
      <c r="L66" s="314"/>
      <c r="M66" s="310"/>
      <c r="N66" s="310"/>
      <c r="O66" s="159"/>
      <c r="P66" s="159"/>
      <c r="Q66" s="311"/>
      <c r="R66" s="311"/>
      <c r="S66" s="312"/>
      <c r="T66" s="312"/>
      <c r="U66" s="312"/>
      <c r="V66" s="313"/>
    </row>
    <row r="67" spans="3:22" ht="4.5" customHeight="1">
      <c r="C67" s="1387"/>
      <c r="D67" s="1388"/>
      <c r="E67" s="1388"/>
      <c r="F67" s="1383"/>
      <c r="G67" s="1389"/>
      <c r="H67" s="440"/>
      <c r="I67" s="440"/>
      <c r="J67" s="441"/>
      <c r="K67" s="215"/>
      <c r="L67" s="156"/>
      <c r="M67" s="157"/>
      <c r="N67" s="157"/>
      <c r="O67" s="158"/>
      <c r="P67" s="159"/>
      <c r="Q67" s="160"/>
      <c r="R67" s="160"/>
      <c r="S67" s="161"/>
      <c r="T67" s="161"/>
      <c r="U67" s="161"/>
      <c r="V67" s="111"/>
    </row>
    <row r="68" spans="3:22" ht="15" customHeight="1">
      <c r="C68" s="1127" t="str">
        <f>IF(Indice_index!$Z$1=1,"Despesa  primária","Primary Expenditure")</f>
        <v>Despesa  primária</v>
      </c>
      <c r="D68" s="1369">
        <v>9464.125645741291</v>
      </c>
      <c r="E68" s="1369">
        <v>10115.71693998624</v>
      </c>
      <c r="F68" s="1383">
        <f>IFERROR(IF(ABS((E68-D68)/D68)*100&gt;500,"n.r.",((E68-D68)/D68)*100),0)</f>
        <v>6.8848546462203242</v>
      </c>
      <c r="G68" s="1370">
        <f>IFERROR((E68-D68)/D64*100,"-")</f>
        <v>6.858840281550167</v>
      </c>
      <c r="H68" s="440"/>
      <c r="I68" s="440"/>
      <c r="J68" s="441"/>
      <c r="K68" s="215"/>
      <c r="L68" s="156"/>
      <c r="M68" s="157"/>
      <c r="N68" s="157"/>
      <c r="O68" s="158"/>
      <c r="P68" s="159"/>
      <c r="Q68" s="160"/>
      <c r="R68" s="160"/>
      <c r="S68" s="161"/>
      <c r="T68" s="161"/>
      <c r="U68" s="111"/>
      <c r="V68" s="111"/>
    </row>
    <row r="69" spans="3:22" ht="15" customHeight="1">
      <c r="C69" s="1390" t="str">
        <f>IF(Indice_index!$Z$1=1,"Saldo primário","Primary balance")</f>
        <v>Saldo primário</v>
      </c>
      <c r="D69" s="1369">
        <v>75.426766221060277</v>
      </c>
      <c r="E69" s="1369">
        <v>449.49635055263195</v>
      </c>
      <c r="F69" s="1391"/>
      <c r="G69" s="1379"/>
      <c r="H69" s="440"/>
      <c r="I69" s="440"/>
      <c r="J69" s="441"/>
      <c r="K69" s="210"/>
      <c r="L69" s="156"/>
      <c r="M69" s="157"/>
      <c r="N69" s="157"/>
      <c r="O69" s="158"/>
      <c r="P69" s="159"/>
      <c r="Q69" s="160"/>
      <c r="R69" s="160"/>
      <c r="S69" s="161"/>
      <c r="T69" s="161"/>
      <c r="U69" s="161"/>
      <c r="V69" s="111"/>
    </row>
    <row r="70" spans="3:22" ht="15" customHeight="1">
      <c r="C70" s="1390" t="str">
        <f>IF(Indice_index!$Z$1=1,"Saldo corrente","Current balance")</f>
        <v>Saldo corrente</v>
      </c>
      <c r="D70" s="1369">
        <v>1633.450253709927</v>
      </c>
      <c r="E70" s="1369">
        <v>2108.5508686325393</v>
      </c>
      <c r="F70" s="1379"/>
      <c r="G70" s="1379"/>
      <c r="H70" s="440"/>
      <c r="I70" s="440"/>
      <c r="J70" s="441"/>
      <c r="K70" s="210"/>
      <c r="L70" s="156"/>
      <c r="M70" s="157"/>
      <c r="N70" s="157"/>
      <c r="O70" s="158"/>
      <c r="P70" s="159"/>
      <c r="Q70" s="160"/>
      <c r="R70" s="160"/>
      <c r="S70" s="161"/>
      <c r="T70" s="161"/>
      <c r="U70" s="161"/>
      <c r="V70" s="111"/>
    </row>
    <row r="71" spans="3:22" ht="15" customHeight="1">
      <c r="C71" s="1390" t="str">
        <f>IF(Indice_index!$Z$1=1,"Saldo de capital","Capital balance")</f>
        <v>Saldo de capital</v>
      </c>
      <c r="D71" s="1369">
        <v>-1593.9192374591316</v>
      </c>
      <c r="E71" s="1369">
        <v>-1691.9067236050878</v>
      </c>
      <c r="F71" s="1379"/>
      <c r="G71" s="1379"/>
      <c r="H71" s="440"/>
      <c r="I71" s="440"/>
      <c r="J71" s="441"/>
      <c r="K71" s="210"/>
      <c r="L71" s="156"/>
      <c r="M71" s="157"/>
      <c r="N71" s="157"/>
      <c r="O71" s="158"/>
      <c r="P71" s="159"/>
      <c r="Q71" s="160"/>
      <c r="R71" s="160"/>
      <c r="S71" s="161"/>
      <c r="T71" s="161"/>
      <c r="U71" s="161"/>
      <c r="V71" s="111"/>
    </row>
    <row r="72" spans="3:22" ht="15" customHeight="1">
      <c r="C72" s="1127" t="str">
        <f>IF(Indice_index!$Z$1=1,"Ativos financeiros líquidos de reembolsos","Financial assets net of reimbursements")</f>
        <v>Ativos financeiros líquidos de reembolsos</v>
      </c>
      <c r="D72" s="1369">
        <v>-15.552033344828137</v>
      </c>
      <c r="E72" s="1369">
        <v>21.35943017517187</v>
      </c>
      <c r="F72" s="1379"/>
      <c r="G72" s="1379"/>
      <c r="H72" s="440"/>
      <c r="I72" s="440"/>
      <c r="J72" s="441"/>
      <c r="K72" s="210"/>
      <c r="L72" s="156"/>
      <c r="M72" s="157"/>
      <c r="N72" s="157"/>
      <c r="O72" s="158"/>
      <c r="P72" s="159"/>
      <c r="Q72" s="160"/>
      <c r="R72" s="160"/>
      <c r="S72" s="161"/>
      <c r="T72" s="161"/>
      <c r="U72" s="161"/>
      <c r="V72" s="111"/>
    </row>
    <row r="73" spans="3:22" ht="15" customHeight="1">
      <c r="C73" s="1392" t="str">
        <f>IF(Indice_index!$Z$1=1,"dos quais Receitas de:","of which Revenues of")</f>
        <v>dos quais Receitas de:</v>
      </c>
      <c r="D73" s="1369">
        <v>0</v>
      </c>
      <c r="E73" s="1369"/>
      <c r="F73" s="1379"/>
      <c r="G73" s="1379"/>
      <c r="H73" s="440"/>
      <c r="I73" s="440"/>
      <c r="J73" s="441"/>
      <c r="K73" s="210"/>
      <c r="L73" s="156"/>
      <c r="M73" s="157"/>
      <c r="N73" s="157"/>
      <c r="O73" s="158"/>
      <c r="P73" s="159"/>
      <c r="Q73" s="160"/>
      <c r="R73" s="160"/>
      <c r="S73" s="161"/>
      <c r="T73" s="161"/>
      <c r="U73" s="161"/>
      <c r="V73" s="111"/>
    </row>
    <row r="74" spans="3:22" ht="15" customHeight="1">
      <c r="C74" s="1393" t="str">
        <f>IF(Indice_index!$Z$1=1,"Alienação de partes de Capital","Divestment of company shares")</f>
        <v>Alienação de partes de Capital</v>
      </c>
      <c r="D74" s="1369">
        <v>0.24630991999999999</v>
      </c>
      <c r="E74" s="1369">
        <v>0.16913565</v>
      </c>
      <c r="F74" s="1379"/>
      <c r="G74" s="1379"/>
      <c r="H74" s="440"/>
      <c r="I74" s="440"/>
      <c r="J74" s="441"/>
      <c r="K74" s="210"/>
      <c r="L74" s="156"/>
      <c r="M74" s="157"/>
      <c r="N74" s="157"/>
      <c r="O74" s="158"/>
      <c r="P74" s="159"/>
      <c r="Q74" s="160"/>
      <c r="R74" s="160"/>
      <c r="S74" s="161"/>
      <c r="T74" s="161"/>
      <c r="U74" s="161"/>
      <c r="V74" s="111"/>
    </row>
    <row r="75" spans="3:22" ht="15" customHeight="1">
      <c r="C75" s="1394" t="str">
        <f>IF(Indice_index!$Z$1=1,"Outros Ativos","Other Financial assets")</f>
        <v>Outros Ativos</v>
      </c>
      <c r="D75" s="1369">
        <v>4.1713938399999995</v>
      </c>
      <c r="E75" s="1369">
        <v>1.6018143899999999</v>
      </c>
      <c r="F75" s="1379"/>
      <c r="G75" s="1379"/>
      <c r="H75" s="440"/>
      <c r="I75" s="440"/>
      <c r="J75" s="441"/>
      <c r="K75" s="210"/>
      <c r="L75" s="156"/>
      <c r="M75" s="157"/>
      <c r="N75" s="157"/>
      <c r="O75" s="158"/>
      <c r="P75" s="159"/>
      <c r="Q75" s="160"/>
      <c r="R75" s="160"/>
      <c r="S75" s="161"/>
      <c r="T75" s="161"/>
      <c r="U75" s="161"/>
      <c r="V75" s="111"/>
    </row>
    <row r="76" spans="3:22" ht="15" customHeight="1">
      <c r="C76" s="1127" t="str">
        <f>IF(Indice_index!$Z$1=1,"Passivos financeiros líquidos de amortizações","Financial liabilities net of amortizations")</f>
        <v>Passivos financeiros líquidos de amortizações</v>
      </c>
      <c r="D76" s="1369">
        <v>-26.31786974671423</v>
      </c>
      <c r="E76" s="1369">
        <v>-30.605010106713962</v>
      </c>
      <c r="F76" s="1379"/>
      <c r="G76" s="1379"/>
      <c r="H76" s="440"/>
      <c r="I76" s="440"/>
      <c r="J76" s="441"/>
      <c r="K76" s="210"/>
      <c r="L76" s="156"/>
      <c r="M76" s="157"/>
      <c r="N76" s="157"/>
      <c r="O76" s="158"/>
      <c r="P76" s="159"/>
      <c r="Q76" s="160"/>
      <c r="R76" s="160"/>
      <c r="S76" s="161"/>
      <c r="T76" s="161"/>
      <c r="U76" s="161"/>
      <c r="V76" s="111"/>
    </row>
    <row r="77" spans="3:22" ht="15" customHeight="1">
      <c r="C77" s="1127" t="str">
        <f>IF(Indice_index!$Z$1=1,"Poupança (+) / Utilização (-) de saldo da gerência anterior","Saving (+) / Usage (-) of balance from previous management")</f>
        <v>Poupança (+) / Utilização (-) de saldo da gerência anterior</v>
      </c>
      <c r="D77" s="1369">
        <v>28.76517984890971</v>
      </c>
      <c r="E77" s="1369">
        <v>364.67970474556472</v>
      </c>
      <c r="F77" s="1379"/>
      <c r="G77" s="1379"/>
      <c r="H77" s="440"/>
      <c r="I77" s="440"/>
      <c r="J77" s="441"/>
      <c r="K77" s="210"/>
      <c r="L77" s="156"/>
      <c r="M77" s="157"/>
      <c r="N77" s="157"/>
      <c r="O77" s="158"/>
      <c r="P77" s="159"/>
      <c r="Q77" s="160"/>
      <c r="R77" s="160"/>
      <c r="S77" s="161"/>
      <c r="T77" s="161"/>
      <c r="U77" s="161"/>
      <c r="V77" s="111"/>
    </row>
    <row r="78" spans="3:22" ht="15" customHeight="1">
      <c r="C78" s="1395" t="str">
        <f>IF(Indice_index!$Z$1=1,"Taxa de comparticip. financiam. comunitário","Community financing rate")</f>
        <v>Taxa de comparticip. financiam. comunitário</v>
      </c>
      <c r="D78" s="1396">
        <v>0.252565949217741</v>
      </c>
      <c r="E78" s="1396">
        <v>0.23536381377774263</v>
      </c>
      <c r="F78" s="1397"/>
      <c r="G78" s="1397"/>
      <c r="H78" s="440"/>
      <c r="I78" s="440"/>
      <c r="J78" s="441"/>
      <c r="K78" s="210"/>
      <c r="L78" s="156"/>
      <c r="M78" s="157"/>
      <c r="N78" s="157"/>
      <c r="O78" s="158"/>
      <c r="P78" s="159"/>
      <c r="Q78" s="160"/>
      <c r="R78" s="160"/>
      <c r="S78" s="161"/>
      <c r="T78" s="161"/>
      <c r="U78" s="161"/>
      <c r="V78" s="111"/>
    </row>
    <row r="79" spans="3:22" ht="4.5" customHeight="1">
      <c r="C79" s="1127"/>
      <c r="D79" s="1398"/>
      <c r="E79" s="1398"/>
      <c r="F79" s="1399"/>
      <c r="G79" s="1399"/>
      <c r="H79" s="440"/>
      <c r="I79" s="440"/>
      <c r="J79" s="441"/>
      <c r="K79" s="210"/>
      <c r="L79" s="156"/>
      <c r="M79" s="157"/>
      <c r="N79" s="157"/>
      <c r="O79" s="158"/>
      <c r="P79" s="159"/>
      <c r="Q79" s="160"/>
      <c r="R79" s="160"/>
      <c r="S79" s="161"/>
      <c r="T79" s="161"/>
      <c r="U79" s="161"/>
      <c r="V79" s="111"/>
    </row>
    <row r="80" spans="3:22" ht="15" customHeight="1">
      <c r="C80" s="1400" t="str">
        <f>IF(Indice_index!$Z$1=1,"Notas:","Notes:")</f>
        <v>Notas:</v>
      </c>
      <c r="D80" s="1401"/>
      <c r="E80" s="1401"/>
      <c r="F80" s="1402"/>
      <c r="G80" s="1402"/>
      <c r="H80" s="246"/>
      <c r="I80" s="246"/>
      <c r="J80"/>
      <c r="K80" s="210"/>
      <c r="L80" s="156"/>
    </row>
    <row r="81" spans="3:13" ht="24" customHeight="1">
      <c r="C81" s="1769"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1" s="1763"/>
      <c r="E81" s="1763"/>
      <c r="F81" s="1763"/>
      <c r="G81" s="1763"/>
      <c r="H81" s="246"/>
      <c r="I81" s="246"/>
      <c r="J81"/>
      <c r="K81" s="156"/>
      <c r="L81" s="156"/>
    </row>
    <row r="82" spans="3:13" ht="24" customHeight="1">
      <c r="C82" s="1769"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2" s="1769"/>
      <c r="E82" s="1769"/>
      <c r="F82" s="1769"/>
      <c r="G82" s="1769"/>
      <c r="H82" s="246"/>
      <c r="I82" s="246"/>
      <c r="J82"/>
      <c r="K82" s="156"/>
      <c r="L82" s="156"/>
    </row>
    <row r="83" spans="3:13" ht="24" customHeight="1">
      <c r="C83" s="1769" t="str">
        <f>IF(Indice_index!$Z$1=1,"A Participação no IRS inclui municípios das Regiões Autónomas.","Personal income tax (IRS) participation includes municipalities of the Autonomous Regions." )</f>
        <v>A Participação no IRS inclui municípios das Regiões Autónomas.</v>
      </c>
      <c r="D83" s="1769"/>
      <c r="E83" s="1769"/>
      <c r="F83" s="1769"/>
      <c r="G83" s="1769"/>
      <c r="H83" s="246"/>
      <c r="I83" s="246"/>
      <c r="J83"/>
      <c r="K83" s="156"/>
      <c r="L83" s="156"/>
    </row>
    <row r="84" spans="3:13" ht="15" customHeight="1">
      <c r="C84" s="1403">
        <v>2021</v>
      </c>
      <c r="D84" s="1404"/>
      <c r="E84" s="1404"/>
      <c r="F84" s="1404"/>
      <c r="G84" s="1404"/>
      <c r="H84" s="246"/>
      <c r="I84" s="246"/>
      <c r="J84"/>
      <c r="K84" s="156"/>
      <c r="L84" s="156"/>
    </row>
    <row r="85" spans="3:13" ht="15" customHeight="1">
      <c r="C85" s="1756" t="str">
        <f>IF(Indice_index!$Z$1=1,"Dados reportados de 2021: 303 municipios; Em falta: 5.","Entities in default (5 municipalities) in the reporting of budget execution, in the month under review:")</f>
        <v>Dados reportados de 2021: 303 municipios; Em falta: 5.</v>
      </c>
      <c r="D85" s="1756"/>
      <c r="E85" s="1756"/>
      <c r="F85" s="1756"/>
      <c r="G85" s="1756"/>
      <c r="H85" s="246"/>
      <c r="I85" s="246"/>
      <c r="J85"/>
      <c r="K85" s="156"/>
      <c r="L85" s="156"/>
    </row>
    <row r="86" spans="3:13" ht="4.5" customHeight="1">
      <c r="C86" s="1753"/>
      <c r="D86" s="1753"/>
      <c r="E86" s="1753"/>
      <c r="F86" s="1753"/>
      <c r="G86" s="1753"/>
      <c r="H86" s="246"/>
      <c r="I86" s="246"/>
      <c r="J86"/>
      <c r="K86" s="156"/>
      <c r="L86" s="156"/>
    </row>
    <row r="87" spans="3:13" ht="11.25" customHeight="1">
      <c r="C87" s="1754">
        <v>2022</v>
      </c>
      <c r="D87" s="1754"/>
      <c r="E87" s="1754"/>
      <c r="F87" s="1405"/>
      <c r="G87" s="1405"/>
      <c r="H87" s="246"/>
      <c r="I87" s="246"/>
      <c r="J87"/>
    </row>
    <row r="88" spans="3:13" ht="15" customHeight="1">
      <c r="C88" s="1756" t="str">
        <f>IF(Indice_index!$Z$1=1,"Dados reportados de 2022: 249 municipios; Em falta: 59.","Entities in default (59 municipalities) in the reporting of budget execution, in the month under review:")</f>
        <v>Dados reportados de 2022: 249 municipios; Em falta: 59.</v>
      </c>
      <c r="D88" s="1756"/>
      <c r="E88" s="1756"/>
      <c r="F88" s="1756"/>
      <c r="G88" s="1756"/>
      <c r="H88" s="246"/>
      <c r="I88" s="246"/>
    </row>
    <row r="89" spans="3:13" ht="4.5" customHeight="1">
      <c r="C89" s="1405"/>
      <c r="D89" s="1405"/>
      <c r="E89" s="1405"/>
      <c r="F89" s="1405"/>
      <c r="G89" s="1405"/>
      <c r="H89" s="246"/>
      <c r="I89" s="246"/>
    </row>
    <row r="90" spans="3:13" ht="26.25" customHeight="1">
      <c r="C90" s="1762"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90" s="1763"/>
      <c r="E90" s="1763"/>
      <c r="F90" s="1763"/>
      <c r="G90" s="1763"/>
      <c r="H90" s="246"/>
      <c r="I90" s="1755"/>
      <c r="J90" s="1756"/>
      <c r="K90" s="1756"/>
      <c r="L90" s="1756"/>
      <c r="M90" s="1756"/>
    </row>
    <row r="91" spans="3:13" ht="4.5" customHeight="1">
      <c r="C91" s="664"/>
      <c r="D91" s="1406"/>
      <c r="E91" s="1406"/>
      <c r="F91" s="1406"/>
      <c r="G91" s="1406"/>
      <c r="H91" s="246"/>
      <c r="I91" s="656"/>
      <c r="J91" s="462"/>
      <c r="K91" s="462"/>
      <c r="L91" s="462"/>
      <c r="M91" s="462"/>
    </row>
    <row r="92" spans="3:13" ht="24" customHeight="1">
      <c r="C92" s="1762"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Fonte: BIORC - DGO com base nos dados da execução orçamental dos municípios reportada na DGAL/SIIAL/SISAL e Reporte alternativo provisório</v>
      </c>
      <c r="D92" s="1763"/>
      <c r="E92" s="1763"/>
      <c r="F92" s="1763"/>
      <c r="G92" s="1763"/>
      <c r="H92" s="664"/>
      <c r="I92" s="246"/>
    </row>
    <row r="93" spans="3:13">
      <c r="D93" s="1407"/>
      <c r="E93" s="1407"/>
      <c r="F93" s="1407"/>
      <c r="G93" s="1407"/>
      <c r="H93" s="164"/>
    </row>
    <row r="94" spans="3:13" ht="26.25" customHeight="1">
      <c r="C94" s="1757"/>
      <c r="D94" s="1758"/>
      <c r="E94" s="1758"/>
      <c r="F94" s="1758"/>
      <c r="G94" s="1758"/>
      <c r="H94" s="164"/>
    </row>
    <row r="95" spans="3:13" ht="6.75" customHeight="1">
      <c r="C95" s="700"/>
      <c r="D95" s="701"/>
      <c r="E95" s="701"/>
      <c r="F95" s="701"/>
      <c r="G95" s="701"/>
      <c r="H95" s="164"/>
    </row>
    <row r="96" spans="3:13" ht="13.5" customHeight="1">
      <c r="D96" s="212"/>
      <c r="E96" s="212"/>
      <c r="F96" s="212"/>
      <c r="G96" s="212"/>
      <c r="H96" s="163"/>
    </row>
    <row r="97" spans="3:17" ht="12.75" customHeight="1">
      <c r="C97" s="213"/>
      <c r="D97" s="213"/>
      <c r="E97" s="213"/>
      <c r="F97" s="213"/>
      <c r="G97" s="213"/>
      <c r="H97" s="163"/>
      <c r="I97" s="165"/>
      <c r="J97" s="165"/>
      <c r="K97" s="165"/>
      <c r="L97" s="165"/>
      <c r="M97" s="165"/>
      <c r="N97" s="165"/>
      <c r="O97" s="163"/>
      <c r="P97" s="163"/>
      <c r="Q97" s="163"/>
    </row>
    <row r="98" spans="3:17" ht="27" customHeight="1">
      <c r="C98" s="1759"/>
      <c r="D98" s="1759"/>
      <c r="E98" s="1759"/>
      <c r="F98" s="1759"/>
      <c r="G98" s="1759"/>
      <c r="H98" s="165"/>
    </row>
    <row r="100" spans="3:17" ht="12.75" customHeight="1">
      <c r="C100" s="214"/>
      <c r="D100" s="247"/>
      <c r="E100" s="247"/>
      <c r="F100" s="247"/>
      <c r="G100" s="247"/>
      <c r="H100" s="247"/>
    </row>
    <row r="101" spans="3:17" ht="12.75" customHeight="1">
      <c r="C101" s="1760"/>
      <c r="D101" s="1761"/>
      <c r="E101" s="1761"/>
      <c r="F101" s="1761"/>
      <c r="G101" s="1761"/>
      <c r="H101" s="1761"/>
    </row>
    <row r="102" spans="3:17" ht="12.75" customHeight="1"/>
    <row r="103" spans="3:17">
      <c r="C103" s="1752"/>
      <c r="D103" s="1752"/>
      <c r="E103" s="1752"/>
      <c r="F103" s="1752"/>
      <c r="G103" s="1752"/>
    </row>
    <row r="104" spans="3:17">
      <c r="C104" s="166"/>
      <c r="D104" s="166"/>
      <c r="E104" s="166"/>
      <c r="F104" s="166"/>
      <c r="G104" s="166"/>
    </row>
    <row r="105" spans="3:17">
      <c r="C105" s="166"/>
      <c r="D105" s="166"/>
      <c r="E105" s="166"/>
      <c r="F105" s="166"/>
      <c r="G105" s="166"/>
    </row>
    <row r="106" spans="3:17">
      <c r="C106" s="166"/>
      <c r="D106" s="166"/>
      <c r="E106" s="166"/>
      <c r="F106" s="166"/>
      <c r="G106" s="166"/>
    </row>
    <row r="107" spans="3:17">
      <c r="C107" s="166"/>
      <c r="D107" s="166"/>
      <c r="E107" s="166"/>
      <c r="F107" s="166"/>
      <c r="G107" s="166"/>
    </row>
    <row r="108" spans="3:17">
      <c r="C108" s="166"/>
      <c r="D108" s="166"/>
      <c r="E108" s="166"/>
      <c r="F108" s="166"/>
      <c r="G108" s="166"/>
    </row>
    <row r="109" spans="3:17">
      <c r="C109" s="166"/>
      <c r="D109" s="166"/>
      <c r="E109" s="166"/>
      <c r="F109" s="166"/>
      <c r="G109" s="166"/>
    </row>
    <row r="110" spans="3:17">
      <c r="C110" s="166"/>
      <c r="D110" s="166"/>
      <c r="E110" s="166"/>
      <c r="F110" s="166"/>
      <c r="G110" s="166"/>
    </row>
    <row r="111" spans="3:17">
      <c r="C111" s="166"/>
      <c r="D111" s="166"/>
      <c r="E111" s="166"/>
      <c r="F111" s="166"/>
      <c r="G111" s="166"/>
    </row>
    <row r="112" spans="3:17">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row r="181" spans="3:7">
      <c r="C181" s="166"/>
      <c r="D181" s="166"/>
      <c r="E181" s="166"/>
      <c r="F181" s="166"/>
      <c r="G181" s="166"/>
    </row>
  </sheetData>
  <mergeCells count="17">
    <mergeCell ref="C85:G85"/>
    <mergeCell ref="C6:C7"/>
    <mergeCell ref="D6:E6"/>
    <mergeCell ref="F6:G6"/>
    <mergeCell ref="C81:G81"/>
    <mergeCell ref="C82:G82"/>
    <mergeCell ref="C83:G83"/>
    <mergeCell ref="C103:G103"/>
    <mergeCell ref="C86:G86"/>
    <mergeCell ref="C87:E87"/>
    <mergeCell ref="I90:M90"/>
    <mergeCell ref="C94:G94"/>
    <mergeCell ref="C98:G98"/>
    <mergeCell ref="C101:H101"/>
    <mergeCell ref="C90:G90"/>
    <mergeCell ref="C88:G88"/>
    <mergeCell ref="C92:G92"/>
  </mergeCell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125.7109375" style="7" customWidth="1"/>
    <col min="4" max="4" width="1" style="7" customWidth="1"/>
    <col min="5" max="5" width="15.7109375" style="7" customWidth="1"/>
    <col min="6" max="6" width="15.7109375" style="7" hidden="1" customWidth="1"/>
    <col min="7" max="7" width="15.7109375" style="7" customWidth="1"/>
    <col min="8" max="21" width="9.140625" style="7"/>
    <col min="22" max="26" width="9.140625" style="7" customWidth="1"/>
    <col min="27" max="16384" width="9.140625" style="7"/>
  </cols>
  <sheetData>
    <row r="1" spans="2:26" s="3" customFormat="1" ht="39.75" customHeight="1">
      <c r="B1" s="1666" t="s">
        <v>580</v>
      </c>
      <c r="C1" s="1666"/>
      <c r="D1" s="2"/>
      <c r="E1" s="2"/>
      <c r="I1" s="4"/>
      <c r="J1" s="4"/>
      <c r="X1" s="5">
        <v>1</v>
      </c>
      <c r="Y1" s="3" t="s">
        <v>0</v>
      </c>
      <c r="Z1" s="5">
        <v>1</v>
      </c>
    </row>
    <row r="2" spans="2:26" s="3" customFormat="1" ht="15" customHeight="1">
      <c r="B2" s="6"/>
      <c r="C2" s="6"/>
      <c r="D2" s="2"/>
      <c r="E2" s="2"/>
      <c r="X2" s="5">
        <v>2</v>
      </c>
      <c r="Y2" s="3" t="s">
        <v>1</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365" t="str">
        <f>IF(Indice_index!$Z$1=1,"1 - Receita, despesa e saldo das Administrações Públicas","1 - General Government revenue, expenditure and balance")</f>
        <v>1 - Receita, despesa e saldo das Administrações Públicas</v>
      </c>
      <c r="E6" s="1667" t="str">
        <f>IF(Indice_index!$Z$1=1,"27-janeiro-23","27-January-23")</f>
        <v>27-janeiro-23</v>
      </c>
      <c r="F6" s="1668" t="str">
        <f>IF(Indice_index!$Z$1=1,"","")</f>
        <v/>
      </c>
      <c r="G6" s="1668" t="str">
        <f>IF(Indice_index!$Z$1=1,"dezembro 2022","December 2022")</f>
        <v>dezembro 2022</v>
      </c>
    </row>
    <row r="7" spans="2:26" ht="20.25" customHeight="1">
      <c r="C7" s="365" t="str">
        <f>IF(Indice_index!$Z$1=1,"2 - Conta Consolidada das Administrações Públicas","2 - General Government Consolidated Account")</f>
        <v>2 - Conta Consolidada das Administrações Públicas</v>
      </c>
      <c r="E7" s="1667"/>
      <c r="F7" s="1668"/>
      <c r="G7" s="1668"/>
    </row>
    <row r="8" spans="2:26" ht="20.25" customHeight="1">
      <c r="C8" s="588"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E8" s="1667"/>
      <c r="F8" s="1668"/>
      <c r="G8" s="1668"/>
    </row>
    <row r="9" spans="2:26" ht="20.25" customHeight="1">
      <c r="C9" s="588"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E9" s="1667"/>
      <c r="F9" s="1668"/>
      <c r="G9" s="1668"/>
    </row>
    <row r="10" spans="2:26" ht="20.25" customHeight="1">
      <c r="C10" s="365" t="str">
        <f>IF(Indice_index!$Z$1=1,"5 - Execução Orçamental consolidada da Administração Central e Segurança Social","5 - Central Government and Social Security Consolidated Budget Execution")</f>
        <v>5 - Execução Orçamental consolidada da Administração Central e Segurança Social</v>
      </c>
      <c r="E10" s="1667"/>
      <c r="F10" s="1668"/>
      <c r="G10" s="1668"/>
    </row>
    <row r="11" spans="2:26" ht="20.25" customHeight="1">
      <c r="C11" s="365" t="str">
        <f>IF(Indice_index!$Z$1=1,"6 - Conta consolidada da Administração Central","6 - Central Government consolidated execution")</f>
        <v>6 - Conta consolidada da Administração Central</v>
      </c>
      <c r="E11" s="1667"/>
      <c r="F11" s="1668"/>
      <c r="G11" s="1668"/>
    </row>
    <row r="12" spans="2:26" ht="20.25" customHeight="1">
      <c r="C12" s="365" t="str">
        <f>IF(Indice_index!$Z$1=1,"7 - Execução Orçamental do Estado","7 - State Budget Execution")</f>
        <v>7 - Execução Orçamental do Estado</v>
      </c>
      <c r="E12" s="1667"/>
      <c r="F12" s="1668"/>
      <c r="G12" s="1668"/>
      <c r="L12" s="13"/>
    </row>
    <row r="13" spans="2:26" ht="20.25" customHeight="1">
      <c r="C13" s="365" t="str">
        <f>IF(Indice_index!$Z$1=1,"8 - Execução da Receita do Estado","8 - State revenue implementation")</f>
        <v>8 - Execução da Receita do Estado</v>
      </c>
      <c r="E13" s="1667"/>
      <c r="F13" s="1668"/>
      <c r="G13" s="1668"/>
    </row>
    <row r="14" spans="2:26" ht="20.25" customHeight="1">
      <c r="C14" s="365" t="str">
        <f>IF(Indice_index!$Z$1=1,"9 - Execução Orçamental dos Serviços e Fundos Autónomos","9 - Autonomous Services and Funds Budget Execution")</f>
        <v>9 - Execução Orçamental dos Serviços e Fundos Autónomos</v>
      </c>
      <c r="E14" s="1667"/>
      <c r="F14" s="1668"/>
      <c r="G14" s="1668"/>
    </row>
    <row r="15" spans="2:26" ht="20.25" customHeight="1">
      <c r="C15" s="365" t="str">
        <f>IF(Indice_index!$Z$1=1,"10 - Execução Orçamental das Entidades Públicas Reclassificadas","10 - Reclassified State Owned Enterprises Execution")</f>
        <v>10 - Execução Orçamental das Entidades Públicas Reclassificadas</v>
      </c>
      <c r="E15" s="1667"/>
      <c r="F15" s="1668"/>
      <c r="G15" s="1668"/>
    </row>
    <row r="16" spans="2:26" ht="20.25" customHeight="1">
      <c r="C16" s="365" t="str">
        <f>IF(Indice_index!$Z$1=1,"11 - Execução Orçamental da Caixa Geral de Aposentações","11 - Public Servants Social Scheme Budget Execution")</f>
        <v>11 - Execução Orçamental da Caixa Geral de Aposentações</v>
      </c>
      <c r="E16" s="1667"/>
      <c r="F16" s="1668"/>
      <c r="G16" s="1668"/>
    </row>
    <row r="17" spans="2:7" ht="20.25" customHeight="1">
      <c r="C17" s="365" t="str">
        <f>IF(Indice_index!$Z$1=1,"12 - Execução Orçamental da Segurança Social, por natureza","12 - Social Security Budget Execution by nature")</f>
        <v>12 - Execução Orçamental da Segurança Social, por natureza</v>
      </c>
      <c r="E17" s="1667"/>
      <c r="F17" s="1668"/>
      <c r="G17" s="1668"/>
    </row>
    <row r="18" spans="2:7" ht="20.25" customHeight="1">
      <c r="C18" s="365" t="str">
        <f>IF(Indice_index!$Z$1=1,"13 - Execução Orçamental da Segurança Social por classificação económica","13 - Social Security Budget Execution by economic categories")</f>
        <v>13 - Execução Orçamental da Segurança Social por classificação económica</v>
      </c>
      <c r="E18" s="1667"/>
      <c r="F18" s="1668"/>
      <c r="G18" s="1668"/>
    </row>
    <row r="19" spans="2:7" s="15" customFormat="1" ht="20.25" customHeight="1">
      <c r="B19" s="7"/>
      <c r="C19" s="365" t="str">
        <f>IF(Indice_index!$Z$1=1,"14 - Execução Orçamental da Administração Regional","14 - Regional Government")</f>
        <v>14 - Execução Orçamental da Administração Regional</v>
      </c>
      <c r="D19" s="14"/>
      <c r="E19" s="1667"/>
      <c r="F19" s="1668"/>
      <c r="G19" s="1668"/>
    </row>
    <row r="20" spans="2:7" ht="20.25" customHeight="1">
      <c r="C20" s="365" t="str">
        <f>IF(Indice_index!$Z$1=1,"15 - Execução Orçamental da Administração Local","15 - Local Government")</f>
        <v>15 - Execução Orçamental da Administração Local</v>
      </c>
      <c r="E20" s="1667"/>
      <c r="F20" s="1668"/>
      <c r="G20" s="1668"/>
    </row>
    <row r="21" spans="2:7" ht="20.25" customHeight="1">
      <c r="C21" s="365" t="str">
        <f>IF(Indice_index!$Z$1=1,"16 - Despesa com Ativos Financeiros do Estado","16 - State Financial assets expenditure")</f>
        <v>16 - Despesa com Ativos Financeiros do Estado</v>
      </c>
      <c r="E21" s="1667"/>
      <c r="F21" s="1668"/>
      <c r="G21" s="1668"/>
    </row>
    <row r="22" spans="2:7" ht="20.25" customHeight="1">
      <c r="C22" s="365" t="str">
        <f>IF(Indice_index!$Z$1=1,"17 - Execução financeira consolidada do Serviço Nacional de Saúde","17 - National Health Service finantial implementation")</f>
        <v>17 - Execução financeira consolidada do Serviço Nacional de Saúde</v>
      </c>
      <c r="E22" s="1667"/>
      <c r="F22" s="1668"/>
      <c r="G22" s="1668"/>
    </row>
    <row r="23" spans="2:7" ht="20.25" customHeight="1">
      <c r="B23" s="15"/>
      <c r="C23" s="365" t="str">
        <f>IF(Indice_index!$Z$1=1,"18 - Dívida não Financeira da Administração Pública","18 - General Government non-Financial Debt")</f>
        <v>18 - Dívida não Financeira da Administração Pública</v>
      </c>
      <c r="E23" s="1667"/>
      <c r="F23" s="1668"/>
      <c r="G23" s="1668"/>
    </row>
    <row r="24" spans="2:7" ht="20.25" customHeight="1">
      <c r="C24" s="365" t="str">
        <f>IF(Indice_index!$Z$1=1,"19 - Indicadores Físicos e Financeiros do Sistema de Proteção Social da Função Pública","19 - Public Servants Social Scheme - Flows")</f>
        <v>19 - Indicadores Físicos e Financeiros do Sistema de Proteção Social da Função Pública</v>
      </c>
      <c r="E24" s="1667"/>
      <c r="F24" s="1668"/>
      <c r="G24" s="1668"/>
    </row>
    <row r="25" spans="2:7" ht="20.25" customHeight="1">
      <c r="C25" s="365"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E25" s="1667"/>
      <c r="F25" s="1668"/>
      <c r="G25" s="1668"/>
    </row>
    <row r="26" spans="2:7" ht="20.25" customHeight="1">
      <c r="C26" s="365" t="str">
        <f>IF(Indice_index!$Z$1=1,"21 - Estimativas de execução consideradas na conta da Administração Central","21 - Estimated amounts in Central Government Account")</f>
        <v>21 - Estimativas de execução consideradas na conta da Administração Central</v>
      </c>
      <c r="E26" s="1667"/>
      <c r="F26" s="1668"/>
      <c r="G26" s="1668"/>
    </row>
    <row r="27" spans="2:7" s="410" customFormat="1" ht="20.25" customHeight="1">
      <c r="C27" s="365" t="str">
        <f>IF(Indice_index!$Z$1=1,"22 - Utilização condicionada das dotações orçamentais do OE 2022","22 - Frozen allocations from the 2022 State Budget")</f>
        <v>22 - Utilização condicionada das dotações orçamentais do OE 2022</v>
      </c>
      <c r="D27" s="411"/>
      <c r="E27" s="1667"/>
      <c r="F27" s="1668"/>
      <c r="G27" s="1668"/>
    </row>
    <row r="28" spans="2:7" s="410" customFormat="1" ht="20.25" customHeight="1">
      <c r="C28" s="365" t="str">
        <f>IF(Indice_index!$Z$1=1,"23 - Lista de entidades da Administração Central em 2022","23 - Central Administration's list of entities in 2022")</f>
        <v>23 - Lista de entidades da Administração Central em 2022</v>
      </c>
      <c r="D28" s="411"/>
      <c r="E28" s="1667"/>
      <c r="F28" s="1668"/>
      <c r="G28" s="1668"/>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rowBreaks count="1" manualBreakCount="1">
    <brk id="60" min="1" max="6" man="1"/>
  </rowBreaks>
  <ignoredErrors>
    <ignoredError sqref="E5:F5 E27:F27 E28:F28 E7:F26 E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40625" defaultRowHeight="12.75"/>
  <cols>
    <col min="1" max="1" width="1.5703125" style="388" customWidth="1"/>
    <col min="2" max="2" width="4.42578125" style="388" customWidth="1"/>
    <col min="3" max="3" width="44.5703125" style="388" customWidth="1"/>
    <col min="4" max="4" width="6" style="388" hidden="1" customWidth="1"/>
    <col min="5" max="5" width="9.42578125" style="388" customWidth="1"/>
    <col min="6" max="6" width="1.140625" style="388" customWidth="1"/>
    <col min="7" max="8" width="9.42578125" style="388" customWidth="1"/>
    <col min="9" max="9" width="1.140625" style="388" customWidth="1"/>
    <col min="10" max="11" width="9.42578125" style="388" customWidth="1"/>
    <col min="12" max="17" width="8.5703125" style="388" customWidth="1"/>
    <col min="18" max="16384" width="9.140625" style="388"/>
  </cols>
  <sheetData>
    <row r="1" spans="1:19" ht="15" customHeight="1"/>
    <row r="2" spans="1:19" ht="24" customHeight="1">
      <c r="B2" s="8"/>
      <c r="C2" s="331" t="str">
        <f>IF(Indice_index!$Z$1=1,"16 - Despesa com Ativos Financeiros do Estado","16 - State Financial assets expenditure")</f>
        <v>16 - Despesa com Ativos Financeiros do Estado</v>
      </c>
      <c r="D2" s="331"/>
      <c r="E2" s="331"/>
      <c r="F2" s="331"/>
      <c r="G2" s="331"/>
      <c r="H2" s="331"/>
      <c r="I2" s="331"/>
      <c r="J2" s="331"/>
      <c r="K2" s="331"/>
    </row>
    <row r="3" spans="1:19" ht="15" customHeight="1"/>
    <row r="4" spans="1:19" ht="15" customHeight="1">
      <c r="D4" s="665"/>
      <c r="E4" s="665"/>
      <c r="F4" s="665"/>
      <c r="G4" s="665"/>
      <c r="H4" s="665"/>
      <c r="I4" s="665"/>
      <c r="J4" s="665"/>
      <c r="K4" s="665"/>
    </row>
    <row r="5" spans="1:19" s="389" customFormat="1" ht="15" customHeight="1">
      <c r="C5" s="1305" t="str">
        <f>+'5 - Conta AC + SS'!C5</f>
        <v>Período: janeiro a dezembro</v>
      </c>
      <c r="D5" s="1305"/>
      <c r="E5" s="1305"/>
      <c r="F5" s="388"/>
      <c r="G5" s="1305"/>
      <c r="I5" s="388"/>
      <c r="J5" s="828"/>
      <c r="K5" s="828" t="str">
        <f>IF(Indice_index!$Z$1=1,"€ Milhões","€ Millions")</f>
        <v>€ Milhões</v>
      </c>
    </row>
    <row r="6" spans="1:19" ht="22.5">
      <c r="C6" s="1564"/>
      <c r="D6" s="1565" t="str">
        <f>IF(Indice_index!$Z$1=1,"CGE","Final execution")</f>
        <v>CGE</v>
      </c>
      <c r="E6" s="1565" t="str">
        <f>IF(Indice_index!$Z$1=1,"Orçamento Inicial","Budget")</f>
        <v>Orçamento Inicial</v>
      </c>
      <c r="G6" s="1770" t="str">
        <f>IF(Indice_index!$Z$1=1,"Execução","Execution")</f>
        <v>Execução</v>
      </c>
      <c r="H6" s="1770"/>
      <c r="J6" s="1566" t="str">
        <f>IF(Indice_index!$Z$1=1,"Execução Acumulada","Accumulated Execution")</f>
        <v>Execução Acumulada</v>
      </c>
      <c r="K6" s="1771" t="str">
        <f>IF(Indice_index!$Z$1=1,"Grau de Execução (%)","Execution Dregree (%)")</f>
        <v>Grau de Execução (%)</v>
      </c>
      <c r="L6" s="390"/>
      <c r="M6" s="390"/>
      <c r="N6" s="390"/>
      <c r="O6" s="390"/>
      <c r="P6" s="390"/>
      <c r="Q6" s="390"/>
      <c r="R6" s="391"/>
      <c r="S6" s="391"/>
    </row>
    <row r="7" spans="1:19" ht="21.75" customHeight="1">
      <c r="C7" s="1567"/>
      <c r="D7" s="1568" t="s">
        <v>67</v>
      </c>
      <c r="E7" s="1569" t="s">
        <v>73</v>
      </c>
      <c r="G7" s="1570" t="str">
        <f>IF(Indice_index!$Z$1=1,"nov-22","nov-22")</f>
        <v>nov-22</v>
      </c>
      <c r="H7" s="1570" t="str">
        <f>IF(Indice_index!$Z$1=1,"dez-22","dec-22")</f>
        <v>dez-22</v>
      </c>
      <c r="J7" s="1568" t="s">
        <v>73</v>
      </c>
      <c r="K7" s="1772"/>
      <c r="L7" s="392"/>
      <c r="M7" s="393"/>
      <c r="N7" s="387"/>
      <c r="O7" s="387"/>
      <c r="P7" s="394"/>
      <c r="Q7" s="395"/>
      <c r="R7" s="391"/>
      <c r="S7" s="391"/>
    </row>
    <row r="8" spans="1:19" s="396" customFormat="1" ht="4.5" customHeight="1">
      <c r="A8" s="388"/>
      <c r="C8" s="1571"/>
      <c r="D8" s="1571"/>
      <c r="E8" s="1571"/>
      <c r="F8" s="388"/>
      <c r="G8" s="397"/>
      <c r="H8" s="397"/>
      <c r="I8" s="388"/>
      <c r="J8" s="397"/>
      <c r="K8" s="397"/>
      <c r="L8" s="397"/>
      <c r="N8" s="397"/>
      <c r="P8" s="368"/>
    </row>
    <row r="9" spans="1:19" s="389" customFormat="1" ht="15" customHeight="1">
      <c r="C9" s="1572" t="str">
        <f>IF(Indice_index!$Z$1=1,"Empréstimos a curto prazo","Short term loans")</f>
        <v>Empréstimos a curto prazo</v>
      </c>
      <c r="D9" s="1559">
        <v>19.559999999999999</v>
      </c>
      <c r="E9" s="1559">
        <v>10</v>
      </c>
      <c r="F9" s="388"/>
      <c r="G9" s="1559">
        <v>0</v>
      </c>
      <c r="H9" s="1559">
        <v>0</v>
      </c>
      <c r="I9" s="388"/>
      <c r="J9" s="1559">
        <v>98.068162000000001</v>
      </c>
      <c r="K9" s="1562" t="str">
        <f>IFERROR(IF(J9/E9*100&lt;-500,"-",IF(J9/E9*100&gt;500,"-",J9/E9*100)),"-")</f>
        <v>-</v>
      </c>
      <c r="L9" s="399"/>
      <c r="M9" s="679"/>
      <c r="N9" s="399"/>
      <c r="O9" s="1609"/>
      <c r="P9" s="399"/>
      <c r="Q9" s="400"/>
      <c r="R9" s="400"/>
    </row>
    <row r="10" spans="1:19" s="389" customFormat="1" ht="15" customHeight="1">
      <c r="C10" s="1572" t="str">
        <f>IF(Indice_index!$Z$1=1,"Empréstimos a médio e longo prazo","Medium-long term loans")</f>
        <v>Empréstimos a médio e longo prazo</v>
      </c>
      <c r="D10" s="1559">
        <v>911.41391612999985</v>
      </c>
      <c r="E10" s="1559">
        <v>7018.2399129999994</v>
      </c>
      <c r="F10" s="388"/>
      <c r="G10" s="1559">
        <v>111.55476758000005</v>
      </c>
      <c r="H10" s="1559">
        <v>647.41417760000002</v>
      </c>
      <c r="I10" s="388"/>
      <c r="J10" s="1559">
        <v>1059.0659254499999</v>
      </c>
      <c r="K10" s="1559">
        <f t="shared" ref="K10:K29" si="0">IFERROR(IF(J10/E10*100&lt;-500,"-",IF(J10/E10*100&gt;500,"-",J10/E10*100)),"-")</f>
        <v>15.090192677629544</v>
      </c>
      <c r="L10" s="399"/>
      <c r="M10" s="679"/>
      <c r="N10" s="679"/>
      <c r="O10" s="1609"/>
      <c r="P10" s="399"/>
      <c r="Q10" s="400"/>
      <c r="R10" s="400"/>
    </row>
    <row r="11" spans="1:19" ht="15" customHeight="1">
      <c r="C11" s="1573" t="str">
        <f>IF(Indice_index!$Z$1=1,"Entidades públicas","Public entities")</f>
        <v>Entidades públicas</v>
      </c>
      <c r="D11" s="387">
        <v>0.85635249000000002</v>
      </c>
      <c r="E11" s="387">
        <v>2650</v>
      </c>
      <c r="G11" s="387">
        <v>0</v>
      </c>
      <c r="H11" s="387">
        <v>0</v>
      </c>
      <c r="J11" s="387">
        <v>0</v>
      </c>
      <c r="K11" s="387">
        <f t="shared" si="0"/>
        <v>0</v>
      </c>
      <c r="L11" s="399"/>
      <c r="M11" s="679"/>
      <c r="N11" s="679"/>
      <c r="O11" s="1609"/>
      <c r="P11" s="401"/>
      <c r="Q11" s="387"/>
      <c r="R11" s="387"/>
    </row>
    <row r="12" spans="1:19" ht="15" customHeight="1">
      <c r="C12" s="1573" t="str">
        <f>IF(Indice_index!$Z$1=1,"Serviços e Fundos Autónomos","Autonomous Services and Funds ")</f>
        <v>Serviços e Fundos Autónomos</v>
      </c>
      <c r="D12" s="387">
        <v>0</v>
      </c>
      <c r="E12" s="387">
        <v>1058</v>
      </c>
      <c r="G12" s="387">
        <v>0</v>
      </c>
      <c r="H12" s="387">
        <v>474.75</v>
      </c>
      <c r="J12" s="387">
        <v>474.75</v>
      </c>
      <c r="K12" s="387">
        <f t="shared" si="0"/>
        <v>44.872400756143662</v>
      </c>
      <c r="L12" s="399"/>
      <c r="M12" s="679"/>
      <c r="N12" s="679"/>
      <c r="O12" s="1609"/>
      <c r="P12" s="401"/>
      <c r="Q12" s="387"/>
      <c r="R12" s="387"/>
    </row>
    <row r="13" spans="1:19" ht="15" customHeight="1">
      <c r="C13" s="1573" t="str">
        <f>IF(Indice_index!$Z$1=1,"Entidades públicas reclassificadas","Reclassified public entities")</f>
        <v>Entidades públicas reclassificadas</v>
      </c>
      <c r="D13" s="387">
        <v>823.68396933999986</v>
      </c>
      <c r="E13" s="387">
        <v>1996.7760220000002</v>
      </c>
      <c r="G13" s="387">
        <v>100.00000000000003</v>
      </c>
      <c r="H13" s="387">
        <v>96.912660999999957</v>
      </c>
      <c r="J13" s="387">
        <v>419.32334636999997</v>
      </c>
      <c r="K13" s="387">
        <f t="shared" si="0"/>
        <v>21.000019118318512</v>
      </c>
      <c r="L13" s="399"/>
      <c r="M13" s="679"/>
      <c r="N13" s="679"/>
      <c r="O13" s="1609"/>
      <c r="P13" s="401"/>
      <c r="Q13" s="387"/>
      <c r="R13" s="387"/>
    </row>
    <row r="14" spans="1:19" ht="15" customHeight="1">
      <c r="C14" s="1573" t="str">
        <f>IF(Indice_index!$Z$1=1,"Administração Local - Continente Incêndios","Local Government - Continent Fires")</f>
        <v>Administração Local - Continente Incêndios</v>
      </c>
      <c r="D14" s="387">
        <v>0.28353600000000001</v>
      </c>
      <c r="E14" s="387">
        <v>0</v>
      </c>
      <c r="G14" s="387">
        <v>0</v>
      </c>
      <c r="H14" s="387">
        <v>0</v>
      </c>
      <c r="J14" s="387">
        <v>0</v>
      </c>
      <c r="K14" s="1563" t="str">
        <f t="shared" si="0"/>
        <v>-</v>
      </c>
      <c r="L14" s="399"/>
      <c r="M14" s="679"/>
      <c r="N14" s="679"/>
      <c r="O14" s="1609"/>
      <c r="P14" s="401"/>
      <c r="Q14" s="387"/>
      <c r="R14" s="387"/>
    </row>
    <row r="15" spans="1:19" ht="15" customHeight="1">
      <c r="C15" s="1574" t="str">
        <f>IF(Indice_index!$Z$1=1,"Países terceiros","Other countries")</f>
        <v>Países terceiros</v>
      </c>
      <c r="D15" s="387">
        <v>0</v>
      </c>
      <c r="E15" s="387">
        <v>5</v>
      </c>
      <c r="G15" s="387">
        <v>0</v>
      </c>
      <c r="H15" s="387">
        <v>0</v>
      </c>
      <c r="J15" s="387">
        <v>0</v>
      </c>
      <c r="K15" s="387">
        <f t="shared" si="0"/>
        <v>0</v>
      </c>
      <c r="L15" s="399"/>
      <c r="M15" s="679"/>
      <c r="N15" s="679"/>
      <c r="O15" s="1609"/>
      <c r="P15" s="401"/>
      <c r="Q15" s="387"/>
      <c r="R15" s="387"/>
    </row>
    <row r="16" spans="1:19" ht="15" customHeight="1">
      <c r="C16" s="1573" t="str">
        <f>IF(Indice_index!$Z$1=1,"Fundo de Resolução Europeu","European Resolution Fund")</f>
        <v>Fundo de Resolução Europeu</v>
      </c>
      <c r="D16" s="387">
        <v>0</v>
      </c>
      <c r="E16" s="387">
        <v>852.5</v>
      </c>
      <c r="G16" s="387">
        <v>0</v>
      </c>
      <c r="H16" s="387">
        <v>0</v>
      </c>
      <c r="J16" s="387">
        <v>0</v>
      </c>
      <c r="K16" s="387">
        <f t="shared" si="0"/>
        <v>0</v>
      </c>
      <c r="L16" s="399"/>
      <c r="M16" s="679"/>
      <c r="N16" s="679"/>
      <c r="O16" s="1609"/>
      <c r="P16" s="401"/>
      <c r="Q16" s="387"/>
      <c r="R16" s="387"/>
    </row>
    <row r="17" spans="3:19" ht="15" customHeight="1">
      <c r="C17" s="1573" t="str">
        <f>IF(Indice_index!$Z$1=1,"Portugal 2020","Portugal 2020")</f>
        <v>Portugal 2020</v>
      </c>
      <c r="D17" s="387">
        <v>50.279335079999996</v>
      </c>
      <c r="E17" s="387">
        <v>90</v>
      </c>
      <c r="G17" s="387">
        <v>0</v>
      </c>
      <c r="H17" s="387">
        <v>23.887633999999998</v>
      </c>
      <c r="J17" s="387">
        <v>37.887633999999998</v>
      </c>
      <c r="K17" s="387">
        <f t="shared" si="0"/>
        <v>42.097371111111109</v>
      </c>
      <c r="L17" s="399"/>
      <c r="M17" s="679"/>
      <c r="N17" s="679"/>
      <c r="O17" s="1609"/>
      <c r="P17" s="401"/>
      <c r="Q17" s="387"/>
      <c r="R17" s="387"/>
    </row>
    <row r="18" spans="3:19" ht="15" customHeight="1">
      <c r="C18" s="1573" t="str">
        <f>IF(Indice_index!$Z$1=1,"Fundos públicos","Public Funds")</f>
        <v>Fundos públicos</v>
      </c>
      <c r="D18" s="387">
        <v>36.31072322</v>
      </c>
      <c r="E18" s="387">
        <v>365.96389099999993</v>
      </c>
      <c r="G18" s="387">
        <v>11.554767580000018</v>
      </c>
      <c r="H18" s="387">
        <v>51.863882599999997</v>
      </c>
      <c r="J18" s="387">
        <v>127.10494508000001</v>
      </c>
      <c r="K18" s="387">
        <f t="shared" si="0"/>
        <v>34.73155363297851</v>
      </c>
      <c r="L18" s="399"/>
      <c r="M18" s="679"/>
      <c r="N18" s="679"/>
      <c r="O18" s="1609"/>
      <c r="P18" s="401"/>
      <c r="Q18" s="387"/>
      <c r="R18" s="387"/>
    </row>
    <row r="19" spans="3:19" s="389" customFormat="1" ht="15" customHeight="1">
      <c r="C19" s="1572" t="str">
        <f>IF(Indice_index!$Z$1=1,"Dotações de capital","Capital injections")</f>
        <v>Dotações de capital</v>
      </c>
      <c r="D19" s="1559">
        <v>3997.8044726200001</v>
      </c>
      <c r="E19" s="1559">
        <v>4109.166639</v>
      </c>
      <c r="F19" s="388"/>
      <c r="G19" s="1559">
        <v>264.33427358999973</v>
      </c>
      <c r="H19" s="1559">
        <v>1505.9180450000001</v>
      </c>
      <c r="I19" s="388"/>
      <c r="J19" s="1559">
        <v>2866.1018695100001</v>
      </c>
      <c r="K19" s="1559">
        <f t="shared" si="0"/>
        <v>69.748981272939801</v>
      </c>
      <c r="L19" s="399"/>
      <c r="M19" s="679"/>
      <c r="N19" s="679"/>
      <c r="O19" s="1609"/>
      <c r="P19" s="399"/>
      <c r="Q19" s="400"/>
      <c r="R19" s="400"/>
    </row>
    <row r="20" spans="3:19" ht="15" customHeight="1">
      <c r="C20" s="1573" t="str">
        <f>IF(Indice_index!$Z$1=1,"Empresas públicas não financeiras","Non financial public enterprises")</f>
        <v>Empresas públicas não financeiras</v>
      </c>
      <c r="D20" s="387">
        <v>998.5</v>
      </c>
      <c r="E20" s="387">
        <v>991.68418299999996</v>
      </c>
      <c r="G20" s="387">
        <v>9.9</v>
      </c>
      <c r="H20" s="387">
        <v>294</v>
      </c>
      <c r="J20" s="387">
        <v>303.89999999999998</v>
      </c>
      <c r="K20" s="387">
        <f t="shared" si="0"/>
        <v>30.644836855283391</v>
      </c>
      <c r="L20" s="399"/>
      <c r="M20" s="679"/>
      <c r="N20" s="679"/>
      <c r="O20" s="1609"/>
      <c r="P20" s="401"/>
      <c r="Q20" s="387"/>
      <c r="R20" s="387"/>
    </row>
    <row r="21" spans="3:19" ht="15" customHeight="1">
      <c r="C21" s="1573" t="str">
        <f>IF(Indice_index!$Z$1=1,"Empresas públicas reclassificadas","Reclassified public entities")</f>
        <v>Empresas públicas reclassificadas</v>
      </c>
      <c r="D21" s="387">
        <v>2999.1892240000002</v>
      </c>
      <c r="E21" s="387">
        <v>3110.9284349999998</v>
      </c>
      <c r="G21" s="387">
        <v>254.38171899999975</v>
      </c>
      <c r="H21" s="387">
        <v>1206.1144740000002</v>
      </c>
      <c r="J21" s="387">
        <v>2556.293001</v>
      </c>
      <c r="K21" s="387">
        <f t="shared" si="0"/>
        <v>82.171385630090853</v>
      </c>
      <c r="L21" s="399"/>
      <c r="M21" s="679"/>
      <c r="N21" s="679"/>
      <c r="O21" s="1609"/>
      <c r="P21" s="401"/>
      <c r="Q21" s="387"/>
      <c r="R21" s="387"/>
    </row>
    <row r="22" spans="3:19" ht="15" customHeight="1">
      <c r="C22" s="1573" t="str">
        <f>IF(Indice_index!$Z$1=1,"Fundos Públicos","Public Funds")</f>
        <v>Fundos Públicos</v>
      </c>
      <c r="D22" s="387">
        <v>0.11524862</v>
      </c>
      <c r="E22" s="387">
        <v>6.5540209999999997</v>
      </c>
      <c r="G22" s="387">
        <v>5.2554589999999998E-2</v>
      </c>
      <c r="H22" s="387">
        <v>5.8035709999999998</v>
      </c>
      <c r="J22" s="387">
        <v>5.9088685099999996</v>
      </c>
      <c r="K22" s="387">
        <f t="shared" si="0"/>
        <v>90.156386590766189</v>
      </c>
      <c r="L22" s="399"/>
      <c r="M22" s="679"/>
      <c r="N22" s="679"/>
      <c r="O22" s="1609"/>
      <c r="P22" s="401"/>
      <c r="Q22" s="387"/>
      <c r="R22" s="387"/>
    </row>
    <row r="23" spans="3:19" s="389" customFormat="1" ht="15" customHeight="1">
      <c r="C23" s="1572" t="str">
        <f>IF(Indice_index!$Z$1=1,"Aquisição de Participações","Acquisition of Shares")</f>
        <v>Aquisição de Participações</v>
      </c>
      <c r="D23" s="1559">
        <v>9.9999999999999995E-7</v>
      </c>
      <c r="E23" s="1559">
        <v>0</v>
      </c>
      <c r="F23" s="388"/>
      <c r="G23" s="1559">
        <v>0</v>
      </c>
      <c r="H23" s="1559">
        <v>0</v>
      </c>
      <c r="I23" s="388"/>
      <c r="J23" s="1559">
        <v>0</v>
      </c>
      <c r="K23" s="1562" t="str">
        <f t="shared" si="0"/>
        <v>-</v>
      </c>
      <c r="L23" s="399"/>
      <c r="M23" s="679"/>
      <c r="N23" s="679"/>
      <c r="O23" s="1609"/>
      <c r="P23" s="399"/>
      <c r="Q23" s="400"/>
      <c r="R23" s="400"/>
    </row>
    <row r="24" spans="3:19" s="389" customFormat="1" ht="15" customHeight="1">
      <c r="C24" s="1572" t="str">
        <f>IF(Indice_index!$Z$1=1,"Aquisição de Créditos","Credit acquisition")</f>
        <v>Aquisição de Créditos</v>
      </c>
      <c r="D24" s="1559">
        <v>0</v>
      </c>
      <c r="E24" s="1559">
        <v>0</v>
      </c>
      <c r="F24" s="388"/>
      <c r="G24" s="1559">
        <v>0</v>
      </c>
      <c r="H24" s="1559">
        <v>0</v>
      </c>
      <c r="I24" s="388"/>
      <c r="J24" s="1559">
        <v>0</v>
      </c>
      <c r="K24" s="1562" t="str">
        <f t="shared" si="0"/>
        <v>-</v>
      </c>
      <c r="L24" s="399"/>
      <c r="M24" s="679"/>
      <c r="N24" s="679"/>
      <c r="O24" s="1609"/>
      <c r="P24" s="399"/>
      <c r="Q24" s="400"/>
      <c r="R24" s="400"/>
    </row>
    <row r="25" spans="3:19" s="389" customFormat="1" ht="15" customHeight="1">
      <c r="C25" s="1572" t="str">
        <f>IF(Indice_index!$Z$1=1,"Títulos de Curto Prazo","Short Term Bonds")</f>
        <v>Títulos de Curto Prazo</v>
      </c>
      <c r="D25" s="1559">
        <v>0</v>
      </c>
      <c r="E25" s="1559">
        <v>0</v>
      </c>
      <c r="F25" s="388"/>
      <c r="G25" s="1559">
        <v>0</v>
      </c>
      <c r="H25" s="1559">
        <v>0</v>
      </c>
      <c r="I25" s="388"/>
      <c r="J25" s="1559">
        <v>0</v>
      </c>
      <c r="K25" s="1562" t="str">
        <f t="shared" si="0"/>
        <v>-</v>
      </c>
      <c r="L25" s="399"/>
      <c r="M25" s="679"/>
      <c r="N25" s="679"/>
      <c r="O25" s="1609"/>
      <c r="P25" s="399"/>
      <c r="Q25" s="400"/>
      <c r="R25" s="400"/>
    </row>
    <row r="26" spans="3:19" s="389" customFormat="1" ht="15" customHeight="1">
      <c r="C26" s="1572" t="str">
        <f>IF(Indice_index!$Z$1=1,"Execução de garantias","Guarantees executions")</f>
        <v>Execução de garantias</v>
      </c>
      <c r="D26" s="1559">
        <v>14.31235051</v>
      </c>
      <c r="E26" s="1559">
        <v>127.97064899999999</v>
      </c>
      <c r="F26" s="388"/>
      <c r="G26" s="1559">
        <v>9.1258310399999996</v>
      </c>
      <c r="H26" s="1559">
        <v>26.508489860000001</v>
      </c>
      <c r="I26" s="388"/>
      <c r="J26" s="1559">
        <v>36.859626509999998</v>
      </c>
      <c r="K26" s="1559">
        <f t="shared" si="0"/>
        <v>28.803187916941798</v>
      </c>
      <c r="L26" s="399"/>
      <c r="M26" s="679"/>
      <c r="N26" s="679"/>
      <c r="O26" s="1609"/>
      <c r="P26" s="399"/>
      <c r="Q26" s="400"/>
      <c r="R26" s="400"/>
    </row>
    <row r="27" spans="3:19" s="389" customFormat="1" ht="15" customHeight="1">
      <c r="C27" s="1572" t="str">
        <f>IF(Indice_index!$Z$1=1,"Expropriações","Expropriations")</f>
        <v>Expropriações</v>
      </c>
      <c r="D27" s="1559">
        <v>0</v>
      </c>
      <c r="E27" s="1559">
        <v>1</v>
      </c>
      <c r="F27" s="388"/>
      <c r="G27" s="1559">
        <v>0</v>
      </c>
      <c r="H27" s="1559">
        <v>0</v>
      </c>
      <c r="I27" s="388"/>
      <c r="J27" s="1559">
        <v>0</v>
      </c>
      <c r="K27" s="1559">
        <f t="shared" si="0"/>
        <v>0</v>
      </c>
      <c r="L27" s="399"/>
      <c r="M27" s="679"/>
      <c r="N27" s="679"/>
      <c r="O27" s="1609"/>
      <c r="P27" s="399"/>
      <c r="Q27" s="400"/>
      <c r="R27" s="400"/>
    </row>
    <row r="28" spans="3:19" s="389" customFormat="1" ht="15" customHeight="1">
      <c r="C28" s="1572" t="str">
        <f>IF(Indice_index!$Z$1=1,"Participações em organizações internacionais","International Organizations membership")</f>
        <v>Participações em organizações internacionais</v>
      </c>
      <c r="D28" s="1559">
        <v>1.8977506899999999</v>
      </c>
      <c r="E28" s="1559">
        <v>14.185141</v>
      </c>
      <c r="F28" s="388"/>
      <c r="G28" s="1559">
        <v>-5.8033700000001964E-3</v>
      </c>
      <c r="H28" s="1559">
        <v>0</v>
      </c>
      <c r="I28" s="388"/>
      <c r="J28" s="1559">
        <v>1.9801667299999999</v>
      </c>
      <c r="K28" s="1559">
        <f t="shared" si="0"/>
        <v>13.959443406308051</v>
      </c>
      <c r="L28" s="399"/>
      <c r="M28" s="679"/>
      <c r="N28" s="679"/>
      <c r="O28" s="1609"/>
      <c r="P28" s="399"/>
      <c r="Q28" s="400"/>
      <c r="R28" s="400"/>
    </row>
    <row r="29" spans="3:19" s="389" customFormat="1" ht="15" customHeight="1">
      <c r="C29" s="1572" t="str">
        <f>IF(Indice_index!$Z$1=1,"Outros ativos","Others")</f>
        <v>Outros ativos</v>
      </c>
      <c r="D29" s="1559">
        <v>0</v>
      </c>
      <c r="E29" s="1559">
        <v>37.676518000000002</v>
      </c>
      <c r="F29" s="388"/>
      <c r="G29" s="1559">
        <v>0</v>
      </c>
      <c r="H29" s="1559">
        <v>0</v>
      </c>
      <c r="I29" s="388"/>
      <c r="J29" s="1559">
        <v>0</v>
      </c>
      <c r="K29" s="1559">
        <f t="shared" si="0"/>
        <v>0</v>
      </c>
      <c r="L29" s="399"/>
      <c r="M29" s="679"/>
      <c r="N29" s="679"/>
      <c r="O29" s="1609"/>
      <c r="P29" s="399"/>
      <c r="Q29" s="400"/>
      <c r="R29" s="400"/>
    </row>
    <row r="30" spans="3:19" s="389" customFormat="1" ht="4.5" customHeight="1">
      <c r="C30" s="1560"/>
      <c r="D30" s="1560"/>
      <c r="E30" s="1560"/>
      <c r="F30" s="388"/>
      <c r="G30" s="1560"/>
      <c r="H30" s="1560"/>
      <c r="I30" s="388"/>
      <c r="J30" s="1560"/>
      <c r="K30" s="1560"/>
      <c r="L30" s="399"/>
      <c r="M30" s="679"/>
      <c r="N30" s="679"/>
      <c r="O30" s="1609"/>
      <c r="P30" s="399"/>
      <c r="Q30" s="400"/>
      <c r="R30" s="400"/>
      <c r="S30" s="402"/>
    </row>
    <row r="31" spans="3:19" s="389" customFormat="1" ht="15" customHeight="1">
      <c r="C31" s="1575" t="str">
        <f>IF(Indice_index!$Z$1=1,"Total dos ativos financeiros","Financial Assets - Total")</f>
        <v>Total dos ativos financeiros</v>
      </c>
      <c r="D31" s="1561">
        <v>4944.9884909500006</v>
      </c>
      <c r="E31" s="1561">
        <v>11318.238860000001</v>
      </c>
      <c r="F31" s="388"/>
      <c r="G31" s="1561">
        <v>385.00906883999971</v>
      </c>
      <c r="H31" s="1561">
        <v>2179.8407124599998</v>
      </c>
      <c r="I31" s="388"/>
      <c r="J31" s="1561">
        <v>4062.0757502000001</v>
      </c>
      <c r="K31" s="1561">
        <f>IFERROR(IF(J31/E31*100&lt;-500,"-",IF(J31/E31*100&gt;500,"-",J31/E31*100)),"-")</f>
        <v>35.889645027335995</v>
      </c>
      <c r="L31" s="399"/>
      <c r="M31" s="679"/>
      <c r="N31" s="679"/>
      <c r="O31" s="1609"/>
      <c r="P31" s="399"/>
      <c r="Q31" s="400"/>
      <c r="R31" s="400"/>
      <c r="S31" s="400"/>
    </row>
    <row r="32" spans="3:19" ht="4.5" customHeight="1">
      <c r="C32" s="860"/>
      <c r="D32" s="398"/>
      <c r="E32" s="398"/>
      <c r="G32" s="398"/>
      <c r="H32" s="398"/>
      <c r="J32" s="398"/>
      <c r="K32" s="398"/>
      <c r="L32" s="399"/>
      <c r="M32" s="679"/>
      <c r="N32" s="679"/>
      <c r="O32" s="398"/>
      <c r="P32" s="398"/>
      <c r="Q32" s="398"/>
      <c r="R32" s="398"/>
    </row>
    <row r="33" spans="3:16" ht="15" customHeight="1">
      <c r="C33" s="1576" t="str">
        <f>IF(Indice_index!$Z$1=1,"Fonte: Ministério das Finanças","Source: Ministry of Finance")</f>
        <v>Fonte: Ministério das Finanças</v>
      </c>
      <c r="D33" s="137"/>
      <c r="E33" s="137"/>
      <c r="G33" s="330"/>
      <c r="H33" s="330"/>
      <c r="J33" s="330"/>
      <c r="K33" s="330"/>
      <c r="L33" s="403"/>
      <c r="M33" s="403"/>
      <c r="N33" s="679"/>
      <c r="O33" s="403"/>
      <c r="P33" s="403"/>
    </row>
    <row r="34" spans="3:16">
      <c r="C34" s="137"/>
      <c r="D34" s="137"/>
      <c r="E34" s="137"/>
      <c r="F34" s="405"/>
      <c r="G34" s="137"/>
      <c r="H34" s="137"/>
      <c r="I34" s="405"/>
      <c r="J34" s="137"/>
      <c r="K34" s="137"/>
      <c r="L34" s="403"/>
      <c r="M34" s="403"/>
      <c r="N34" s="404"/>
      <c r="O34" s="403"/>
      <c r="P34" s="403"/>
    </row>
    <row r="35" spans="3:16">
      <c r="C35" s="137"/>
      <c r="D35" s="137"/>
      <c r="E35" s="137"/>
      <c r="F35" s="405"/>
      <c r="G35" s="137"/>
      <c r="H35" s="137"/>
      <c r="I35" s="405"/>
      <c r="J35" s="137"/>
      <c r="K35" s="137"/>
      <c r="L35" s="403"/>
      <c r="M35" s="403"/>
      <c r="N35" s="404"/>
      <c r="O35" s="403"/>
      <c r="P35" s="403"/>
    </row>
    <row r="36" spans="3:16">
      <c r="C36" s="137"/>
      <c r="D36" s="137"/>
      <c r="E36" s="137"/>
      <c r="F36" s="405"/>
      <c r="G36" s="137"/>
      <c r="H36" s="137"/>
      <c r="I36" s="405"/>
      <c r="J36" s="137"/>
      <c r="K36" s="137"/>
      <c r="L36" s="403"/>
      <c r="M36" s="403"/>
      <c r="N36" s="406"/>
      <c r="O36" s="403"/>
      <c r="P36" s="403"/>
    </row>
    <row r="37" spans="3:16">
      <c r="C37" s="137"/>
      <c r="D37" s="137"/>
      <c r="E37" s="137"/>
      <c r="F37" s="405"/>
      <c r="G37" s="137"/>
      <c r="H37" s="137"/>
      <c r="I37" s="405"/>
      <c r="J37" s="137"/>
      <c r="K37" s="137"/>
      <c r="L37" s="398"/>
      <c r="M37" s="398"/>
      <c r="N37" s="398"/>
      <c r="O37" s="398"/>
      <c r="P37" s="398"/>
    </row>
    <row r="38" spans="3:16">
      <c r="C38" s="137"/>
      <c r="D38" s="137"/>
      <c r="E38" s="137"/>
      <c r="F38" s="405"/>
      <c r="G38" s="137"/>
      <c r="H38" s="137"/>
      <c r="I38" s="405"/>
      <c r="J38" s="137"/>
      <c r="K38" s="137"/>
      <c r="L38" s="403"/>
      <c r="M38" s="403"/>
      <c r="N38" s="407"/>
      <c r="O38" s="403"/>
      <c r="P38" s="403"/>
    </row>
    <row r="39" spans="3:16">
      <c r="F39" s="405"/>
      <c r="I39" s="405"/>
      <c r="L39" s="403"/>
      <c r="M39" s="403"/>
      <c r="N39" s="403"/>
      <c r="O39" s="403"/>
      <c r="P39" s="403"/>
    </row>
    <row r="40" spans="3:16">
      <c r="F40" s="405"/>
      <c r="I40" s="405"/>
      <c r="L40" s="403"/>
      <c r="M40" s="403"/>
      <c r="N40" s="406"/>
      <c r="O40" s="403"/>
      <c r="P40" s="403"/>
    </row>
    <row r="41" spans="3:16">
      <c r="F41" s="405"/>
      <c r="I41" s="405"/>
      <c r="L41" s="403"/>
      <c r="M41" s="403"/>
      <c r="N41" s="406"/>
      <c r="O41" s="403"/>
      <c r="P41" s="403"/>
    </row>
    <row r="42" spans="3:16">
      <c r="F42" s="405"/>
      <c r="I42" s="405"/>
      <c r="L42" s="403"/>
      <c r="M42" s="403"/>
      <c r="N42" s="406"/>
      <c r="O42" s="403"/>
      <c r="P42" s="403"/>
    </row>
    <row r="43" spans="3:16">
      <c r="F43" s="405"/>
      <c r="I43" s="405"/>
      <c r="L43" s="403"/>
      <c r="M43" s="403"/>
      <c r="N43" s="407"/>
      <c r="O43" s="403"/>
      <c r="P43" s="403"/>
    </row>
    <row r="44" spans="3:16">
      <c r="F44" s="405"/>
      <c r="I44" s="405"/>
      <c r="L44" s="403"/>
      <c r="M44" s="403"/>
      <c r="N44" s="407"/>
      <c r="O44" s="403"/>
      <c r="P44" s="403"/>
    </row>
    <row r="45" spans="3:16">
      <c r="F45" s="405"/>
      <c r="I45" s="405"/>
      <c r="L45" s="403"/>
      <c r="M45" s="403"/>
      <c r="N45" s="403"/>
      <c r="O45" s="403"/>
      <c r="P45" s="403"/>
    </row>
    <row r="46" spans="3:16">
      <c r="F46" s="405"/>
      <c r="I46" s="405"/>
      <c r="L46" s="403"/>
      <c r="M46" s="403"/>
      <c r="N46" s="407"/>
      <c r="O46" s="403"/>
      <c r="P46" s="403"/>
    </row>
    <row r="47" spans="3:16">
      <c r="F47" s="405"/>
      <c r="I47" s="405"/>
      <c r="L47" s="403"/>
      <c r="M47" s="403"/>
      <c r="N47" s="407"/>
      <c r="O47" s="403"/>
      <c r="P47" s="403"/>
    </row>
    <row r="48" spans="3:16">
      <c r="F48" s="405"/>
      <c r="I48" s="405"/>
      <c r="L48" s="403"/>
      <c r="M48" s="403"/>
      <c r="N48" s="407"/>
      <c r="O48" s="403"/>
      <c r="P48" s="403"/>
    </row>
    <row r="49" spans="6:18">
      <c r="F49" s="405"/>
      <c r="I49" s="405"/>
      <c r="L49" s="403"/>
      <c r="M49" s="403"/>
      <c r="N49" s="407"/>
      <c r="O49" s="403"/>
      <c r="P49" s="403"/>
    </row>
    <row r="50" spans="6:18">
      <c r="F50" s="405"/>
      <c r="I50" s="405"/>
      <c r="L50" s="403"/>
      <c r="M50" s="403"/>
      <c r="N50" s="407"/>
      <c r="O50" s="403"/>
      <c r="P50" s="403"/>
    </row>
    <row r="51" spans="6:18">
      <c r="F51" s="405"/>
      <c r="I51" s="405"/>
      <c r="L51" s="403"/>
      <c r="M51" s="403"/>
      <c r="N51" s="407"/>
      <c r="O51" s="403"/>
      <c r="P51" s="403"/>
    </row>
    <row r="52" spans="6:18">
      <c r="L52" s="403"/>
      <c r="M52" s="403"/>
      <c r="N52" s="407"/>
      <c r="O52" s="403"/>
      <c r="P52" s="403"/>
    </row>
    <row r="53" spans="6:18">
      <c r="F53" s="405"/>
      <c r="G53" s="408"/>
      <c r="H53" s="408"/>
      <c r="I53" s="405"/>
      <c r="J53" s="408"/>
      <c r="K53" s="408"/>
      <c r="L53" s="403"/>
      <c r="M53" s="403"/>
      <c r="N53" s="407"/>
      <c r="O53" s="403"/>
      <c r="P53" s="403"/>
    </row>
    <row r="54" spans="6:18">
      <c r="F54" s="405"/>
      <c r="I54" s="405"/>
      <c r="L54" s="403"/>
      <c r="M54" s="403"/>
      <c r="N54" s="407"/>
      <c r="O54" s="403"/>
      <c r="P54" s="403"/>
    </row>
    <row r="55" spans="6:18">
      <c r="F55" s="405"/>
      <c r="I55" s="405"/>
      <c r="L55" s="403"/>
      <c r="M55" s="403"/>
      <c r="N55" s="407"/>
      <c r="O55" s="403"/>
      <c r="P55" s="403"/>
    </row>
    <row r="56" spans="6:18">
      <c r="F56" s="405"/>
      <c r="I56" s="405"/>
      <c r="L56" s="398"/>
      <c r="M56" s="398"/>
      <c r="N56" s="398"/>
      <c r="O56" s="398"/>
      <c r="P56" s="398"/>
    </row>
    <row r="57" spans="6:18">
      <c r="F57" s="405"/>
      <c r="I57" s="405"/>
      <c r="L57" s="403"/>
      <c r="M57" s="403"/>
      <c r="N57" s="407"/>
      <c r="O57" s="403"/>
      <c r="P57" s="403"/>
    </row>
    <row r="58" spans="6:18">
      <c r="F58" s="405"/>
      <c r="I58" s="405"/>
      <c r="L58" s="403"/>
      <c r="M58" s="403"/>
      <c r="N58" s="407"/>
      <c r="O58" s="403"/>
      <c r="P58" s="403"/>
    </row>
    <row r="59" spans="6:18">
      <c r="F59" s="405"/>
      <c r="I59" s="405"/>
      <c r="L59" s="398"/>
      <c r="M59" s="398"/>
      <c r="N59" s="398"/>
      <c r="O59" s="398"/>
      <c r="P59" s="398"/>
    </row>
    <row r="60" spans="6:18">
      <c r="F60" s="405"/>
      <c r="I60" s="405"/>
      <c r="L60" s="403"/>
      <c r="M60" s="403"/>
      <c r="N60" s="406"/>
      <c r="O60" s="403"/>
      <c r="P60" s="403"/>
    </row>
    <row r="61" spans="6:18">
      <c r="F61" s="405"/>
      <c r="I61" s="405"/>
      <c r="L61" s="137"/>
      <c r="M61" s="137"/>
      <c r="N61" s="137"/>
      <c r="O61" s="137"/>
      <c r="P61" s="137"/>
      <c r="Q61" s="137"/>
      <c r="R61" s="137"/>
    </row>
    <row r="62" spans="6:18">
      <c r="F62" s="405"/>
      <c r="I62" s="405"/>
      <c r="L62" s="137"/>
      <c r="M62" s="137"/>
      <c r="N62" s="137"/>
      <c r="O62" s="137"/>
      <c r="P62" s="137"/>
      <c r="Q62" s="137"/>
      <c r="R62" s="137"/>
    </row>
    <row r="63" spans="6:18">
      <c r="F63" s="405"/>
      <c r="I63" s="405"/>
      <c r="L63" s="137"/>
      <c r="M63" s="137"/>
      <c r="N63" s="137"/>
      <c r="O63" s="137"/>
      <c r="P63" s="137"/>
      <c r="Q63" s="137"/>
      <c r="R63" s="137"/>
    </row>
    <row r="64" spans="6:18">
      <c r="F64" s="405"/>
      <c r="I64" s="405"/>
      <c r="L64" s="137"/>
      <c r="M64" s="137"/>
      <c r="N64" s="137"/>
      <c r="O64" s="137"/>
      <c r="P64" s="137"/>
      <c r="Q64" s="137"/>
      <c r="R64" s="137"/>
    </row>
    <row r="65" spans="6:18">
      <c r="F65" s="405"/>
      <c r="I65" s="405"/>
      <c r="L65" s="137"/>
      <c r="M65" s="137"/>
      <c r="N65" s="137"/>
      <c r="O65" s="137"/>
      <c r="P65" s="137"/>
      <c r="Q65" s="137"/>
      <c r="R65" s="137"/>
    </row>
    <row r="66" spans="6:18">
      <c r="F66" s="405"/>
      <c r="I66" s="405"/>
      <c r="L66" s="137"/>
      <c r="M66" s="137"/>
      <c r="N66" s="137"/>
      <c r="O66" s="137"/>
      <c r="P66" s="137"/>
      <c r="Q66" s="137"/>
      <c r="R66" s="137"/>
    </row>
    <row r="67" spans="6:18">
      <c r="F67" s="405"/>
      <c r="I67" s="405"/>
      <c r="L67" s="137"/>
      <c r="M67" s="137"/>
      <c r="N67" s="137"/>
      <c r="O67" s="137"/>
      <c r="P67" s="137"/>
      <c r="Q67" s="137"/>
      <c r="R67" s="137"/>
    </row>
    <row r="68" spans="6:18">
      <c r="F68" s="405"/>
      <c r="I68" s="405"/>
      <c r="L68" s="137"/>
      <c r="M68" s="137"/>
      <c r="N68" s="137"/>
      <c r="O68" s="137"/>
      <c r="P68" s="137"/>
      <c r="Q68" s="137"/>
      <c r="R68" s="137"/>
    </row>
    <row r="69" spans="6:18">
      <c r="F69" s="405"/>
      <c r="I69" s="405"/>
      <c r="L69" s="137"/>
      <c r="M69" s="137"/>
      <c r="N69" s="137"/>
      <c r="O69" s="137"/>
      <c r="P69" s="137"/>
      <c r="Q69" s="137"/>
      <c r="R69" s="137"/>
    </row>
    <row r="70" spans="6:18">
      <c r="F70" s="405"/>
      <c r="I70" s="405"/>
      <c r="L70" s="137"/>
      <c r="M70" s="137"/>
      <c r="N70" s="137"/>
      <c r="O70" s="137"/>
      <c r="P70" s="137"/>
      <c r="Q70" s="137"/>
      <c r="R70" s="137"/>
    </row>
    <row r="71" spans="6:18">
      <c r="F71" s="405"/>
      <c r="I71" s="405"/>
    </row>
    <row r="72" spans="6:18">
      <c r="F72" s="405"/>
      <c r="I72" s="405"/>
    </row>
    <row r="73" spans="6:18">
      <c r="F73" s="405"/>
      <c r="I73" s="405"/>
    </row>
    <row r="74" spans="6:18">
      <c r="F74" s="405"/>
      <c r="I74" s="405"/>
    </row>
    <row r="75" spans="6:18">
      <c r="F75" s="405"/>
      <c r="I75" s="405"/>
    </row>
  </sheetData>
  <mergeCells count="2">
    <mergeCell ref="G6:H6"/>
    <mergeCell ref="K6:K7"/>
  </mergeCells>
  <conditionalFormatting sqref="P24:P31 L9:P9 N10:N33 L10:M32 P10:P22 O10:O31">
    <cfRule type="cellIs" dxfId="116" priority="14" operator="notEqual">
      <formula>0</formula>
    </cfRule>
  </conditionalFormatting>
  <conditionalFormatting sqref="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25" customWidth="1"/>
    <col min="2" max="2" width="4.42578125" style="425" customWidth="1"/>
    <col min="3" max="3" width="56.5703125" style="425" customWidth="1"/>
    <col min="4" max="4" width="9.5703125" style="425" hidden="1" customWidth="1"/>
    <col min="5" max="7" width="9.5703125" style="425" customWidth="1"/>
    <col min="8" max="14" width="8.5703125" style="425" customWidth="1"/>
    <col min="15" max="16384" width="9.140625" style="425"/>
  </cols>
  <sheetData>
    <row r="1" spans="2:18" s="4" customFormat="1" ht="15" customHeight="1">
      <c r="B1" s="426"/>
      <c r="H1" s="427"/>
      <c r="I1" s="427"/>
    </row>
    <row r="2" spans="2:18" ht="24" customHeight="1">
      <c r="B2" s="8"/>
      <c r="C2" s="331" t="str">
        <f>IF(Indice_index!$Z$1=1,"17 - Execução Financeira Consolidada do Serviço Nacional de Saúde","17 - National Health Service Consolidated Financial Execution")</f>
        <v>17 - Execução Financeira Consolidada do Serviço Nacional de Saúde</v>
      </c>
      <c r="D2" s="331"/>
      <c r="E2" s="645"/>
      <c r="F2" s="331"/>
      <c r="G2" s="331"/>
      <c r="H2" s="331"/>
      <c r="I2" s="331"/>
    </row>
    <row r="3" spans="2:18" s="423" customFormat="1" ht="15" customHeight="1">
      <c r="B3" s="427"/>
      <c r="C3" s="428"/>
      <c r="H3" s="427"/>
      <c r="I3" s="427"/>
    </row>
    <row r="4" spans="2:18" s="423" customFormat="1" ht="15" customHeight="1">
      <c r="B4" s="427"/>
      <c r="C4" s="429"/>
      <c r="H4" s="427"/>
      <c r="I4" s="427"/>
    </row>
    <row r="5" spans="2:18" s="431" customFormat="1" ht="15" customHeight="1">
      <c r="B5" s="430"/>
      <c r="C5" s="1305" t="str">
        <f>+'5 - Conta AC + SS'!C5</f>
        <v>Período: janeiro a dezembro</v>
      </c>
      <c r="D5" s="1619"/>
      <c r="E5" s="424"/>
      <c r="F5" s="1619"/>
      <c r="G5" s="1619"/>
      <c r="H5" s="1620"/>
      <c r="I5" s="890" t="str">
        <f>IF(Indice_index!$Z$1=1,"€ Milhões","€ Millions")</f>
        <v>€ Milhões</v>
      </c>
    </row>
    <row r="6" spans="2:18" s="423" customFormat="1" ht="27.75" customHeight="1">
      <c r="B6" s="427"/>
      <c r="C6" s="1621"/>
      <c r="D6" s="1622" t="str">
        <f>IF(Indice_index!$Z$1=1,"Execução Provisória","Provisional execution")</f>
        <v>Execução Provisória</v>
      </c>
      <c r="E6" s="1623" t="str">
        <f>IF(Indice_index!$Z$1=1,"Orçamento Inicial","Budget")</f>
        <v>Orçamento Inicial</v>
      </c>
      <c r="F6" s="1773" t="str">
        <f>IF(Indice_index!$Z$1=1,"Execução Acumulada","Accumulated Execution")</f>
        <v>Execução Acumulada</v>
      </c>
      <c r="G6" s="1773"/>
      <c r="H6" s="1774" t="str">
        <f>IF(Indice_index!$Z$1=1,"Variação Homóloga Acumulada","YOY Change Rate")</f>
        <v>Variação Homóloga Acumulada</v>
      </c>
      <c r="I6" s="1775"/>
      <c r="K6" s="137"/>
      <c r="L6" s="137"/>
      <c r="M6" s="137"/>
    </row>
    <row r="7" spans="2:18" s="423" customFormat="1" ht="22.5">
      <c r="B7" s="427"/>
      <c r="C7" s="1624"/>
      <c r="D7" s="1625">
        <v>2021</v>
      </c>
      <c r="E7" s="1626">
        <v>2022</v>
      </c>
      <c r="F7" s="1625">
        <v>2021</v>
      </c>
      <c r="G7" s="1625">
        <v>2022</v>
      </c>
      <c r="H7" s="1627" t="str">
        <f>IF(Indice_index!$Z$1=1,"TVH (%)","YOY Change Rate (%)")</f>
        <v>TVH (%)</v>
      </c>
      <c r="I7" s="1628" t="str">
        <f>IF(Indice_index!$Z$1=1,"Contributo VH (p.p.)","YOY Change Contrib. (p.p.)")</f>
        <v>Contributo VH (p.p.)</v>
      </c>
      <c r="K7" s="137"/>
      <c r="L7" s="137"/>
      <c r="M7" s="137"/>
    </row>
    <row r="8" spans="2:18" s="396" customFormat="1" ht="4.5" customHeight="1">
      <c r="C8" s="1571"/>
      <c r="D8" s="397"/>
      <c r="E8" s="397"/>
      <c r="F8" s="397"/>
      <c r="H8" s="4"/>
      <c r="J8" s="458"/>
    </row>
    <row r="9" spans="2:18" s="431" customFormat="1" ht="15" customHeight="1">
      <c r="B9" s="430"/>
      <c r="C9" s="1629" t="str">
        <f>IF(Indice_index!$Z$1=1,"Receita corrente","Current revenue")</f>
        <v>Receita corrente</v>
      </c>
      <c r="D9" s="1610">
        <v>11210.546105580001</v>
      </c>
      <c r="E9" s="1630">
        <v>12010.199999999999</v>
      </c>
      <c r="F9" s="1610">
        <v>11219.800000000001</v>
      </c>
      <c r="G9" s="1610">
        <v>12029.63908569</v>
      </c>
      <c r="H9" s="1631">
        <f t="shared" ref="H9:H15" si="0">IF(F9=0,"-",((G9/F9)-1)*100)</f>
        <v>7.2179458251483863</v>
      </c>
      <c r="I9" s="1631">
        <f t="shared" ref="I9:I15" si="1">IFERROR((G9-F9)/$F$17*100,"-")</f>
        <v>7.1644984800282971</v>
      </c>
      <c r="J9" s="432"/>
      <c r="K9" s="432"/>
      <c r="L9" s="432"/>
      <c r="M9" s="432"/>
      <c r="N9" s="432"/>
      <c r="O9" s="432"/>
      <c r="P9" s="432"/>
      <c r="Q9" s="432"/>
      <c r="R9" s="432"/>
    </row>
    <row r="10" spans="2:18" s="423" customFormat="1" ht="15" customHeight="1">
      <c r="B10" s="427"/>
      <c r="C10" s="1632" t="str">
        <f>IF(Indice_index!$Z$1=1,"Receita fiscal","Tax")</f>
        <v>Receita fiscal</v>
      </c>
      <c r="D10" s="1611">
        <v>105.4</v>
      </c>
      <c r="E10" s="1611">
        <v>110.6</v>
      </c>
      <c r="F10" s="1611">
        <v>108.6</v>
      </c>
      <c r="G10" s="1611">
        <v>110.6</v>
      </c>
      <c r="H10" s="1633">
        <f t="shared" si="0"/>
        <v>1.8416206261510082</v>
      </c>
      <c r="I10" s="1634">
        <f t="shared" si="1"/>
        <v>1.7693634714911307E-2</v>
      </c>
      <c r="J10" s="433"/>
      <c r="K10" s="433"/>
      <c r="L10" s="433"/>
      <c r="M10" s="433"/>
      <c r="N10" s="433"/>
      <c r="O10" s="433"/>
      <c r="P10" s="433"/>
      <c r="Q10" s="433"/>
      <c r="R10" s="433"/>
    </row>
    <row r="11" spans="2:18" s="423" customFormat="1" ht="15" customHeight="1">
      <c r="B11" s="427"/>
      <c r="C11" s="1635" t="str">
        <f>IF(Indice_index!$Z$1=1,"Impostos diretos","Direct taxes")</f>
        <v>Impostos diretos</v>
      </c>
      <c r="D11" s="1611">
        <v>0</v>
      </c>
      <c r="E11" s="1611">
        <v>0</v>
      </c>
      <c r="F11" s="1611">
        <v>0</v>
      </c>
      <c r="G11" s="1611">
        <v>0</v>
      </c>
      <c r="H11" s="1633" t="str">
        <f t="shared" si="0"/>
        <v>-</v>
      </c>
      <c r="I11" s="1634">
        <f t="shared" si="1"/>
        <v>0</v>
      </c>
      <c r="J11" s="433"/>
      <c r="K11" s="433"/>
      <c r="L11" s="433"/>
      <c r="M11" s="433"/>
      <c r="N11" s="433"/>
      <c r="O11" s="433"/>
      <c r="P11" s="433"/>
      <c r="Q11" s="433"/>
      <c r="R11" s="433"/>
    </row>
    <row r="12" spans="2:18" s="423" customFormat="1" ht="15" customHeight="1">
      <c r="B12" s="427"/>
      <c r="C12" s="1635" t="str">
        <f>IF(Indice_index!$Z$1=1,"Impostos indiretos","Indirect taxes")</f>
        <v>Impostos indiretos</v>
      </c>
      <c r="D12" s="1611">
        <v>105.4</v>
      </c>
      <c r="E12" s="1611">
        <v>110.6</v>
      </c>
      <c r="F12" s="1611">
        <v>108.6</v>
      </c>
      <c r="G12" s="1611">
        <v>110.6</v>
      </c>
      <c r="H12" s="1633">
        <f t="shared" si="0"/>
        <v>1.8416206261510082</v>
      </c>
      <c r="I12" s="1634">
        <f t="shared" si="1"/>
        <v>1.7693634714911307E-2</v>
      </c>
      <c r="J12" s="433"/>
      <c r="K12" s="433"/>
      <c r="L12" s="433"/>
      <c r="M12" s="433"/>
      <c r="N12" s="433"/>
      <c r="O12" s="433"/>
      <c r="P12" s="433"/>
      <c r="Q12" s="433"/>
      <c r="R12" s="433"/>
    </row>
    <row r="13" spans="2:18" s="423" customFormat="1" ht="15" customHeight="1">
      <c r="B13" s="427"/>
      <c r="C13" s="841" t="str">
        <f>IF(Indice_index!$Z$1=1,"Contribuições de Segurança Social","Social security contributions")</f>
        <v>Contribuições de Segurança Social</v>
      </c>
      <c r="D13" s="1612">
        <v>0</v>
      </c>
      <c r="E13" s="1612">
        <v>0</v>
      </c>
      <c r="F13" s="1612">
        <v>0</v>
      </c>
      <c r="G13" s="1612">
        <v>0</v>
      </c>
      <c r="H13" s="1633" t="str">
        <f t="shared" si="0"/>
        <v>-</v>
      </c>
      <c r="I13" s="1634">
        <f t="shared" si="1"/>
        <v>0</v>
      </c>
      <c r="J13" s="433"/>
      <c r="K13" s="433"/>
      <c r="L13" s="433"/>
      <c r="M13" s="433"/>
      <c r="N13" s="433"/>
      <c r="O13" s="433"/>
      <c r="P13" s="433"/>
      <c r="Q13" s="433"/>
      <c r="R13" s="433"/>
    </row>
    <row r="14" spans="2:18" s="423" customFormat="1" ht="15" customHeight="1">
      <c r="B14" s="427"/>
      <c r="C14" s="841" t="str">
        <f>IF(Indice_index!$Z$1=1,"Outras receitas correntes","Other current revenue")</f>
        <v>Outras receitas correntes</v>
      </c>
      <c r="D14" s="1611">
        <v>11105.146105580001</v>
      </c>
      <c r="E14" s="1611">
        <v>11899.599999999999</v>
      </c>
      <c r="F14" s="1611">
        <v>11111.2</v>
      </c>
      <c r="G14" s="1611">
        <v>11919.039085689999</v>
      </c>
      <c r="H14" s="1634">
        <f t="shared" si="0"/>
        <v>7.2704936072611304</v>
      </c>
      <c r="I14" s="1634">
        <f t="shared" si="1"/>
        <v>7.1468048453133859</v>
      </c>
      <c r="J14" s="433"/>
      <c r="K14" s="433"/>
      <c r="L14" s="433"/>
      <c r="M14" s="433"/>
      <c r="N14" s="433"/>
      <c r="O14" s="433"/>
      <c r="P14" s="433"/>
      <c r="Q14" s="433"/>
      <c r="R14" s="433"/>
    </row>
    <row r="15" spans="2:18" s="431" customFormat="1" ht="15" customHeight="1">
      <c r="B15" s="430"/>
      <c r="C15" s="1629" t="str">
        <f>IF(Indice_index!$Z$1=1,"Receita de capital","Capital revenue")</f>
        <v>Receita de capital</v>
      </c>
      <c r="D15" s="1613">
        <v>76.199999999999989</v>
      </c>
      <c r="E15" s="1636">
        <v>281.17613014</v>
      </c>
      <c r="F15" s="1613">
        <v>83.7</v>
      </c>
      <c r="G15" s="1613">
        <v>72.2</v>
      </c>
      <c r="H15" s="1637">
        <f t="shared" si="0"/>
        <v>-13.739545997610513</v>
      </c>
      <c r="I15" s="1631">
        <f t="shared" si="1"/>
        <v>-0.10173839961074004</v>
      </c>
      <c r="J15" s="432"/>
      <c r="K15" s="432"/>
      <c r="L15" s="432"/>
      <c r="M15" s="432"/>
      <c r="N15" s="432"/>
      <c r="O15" s="432"/>
      <c r="P15" s="432"/>
      <c r="Q15" s="432"/>
      <c r="R15" s="432"/>
    </row>
    <row r="16" spans="2:18" s="423" customFormat="1" ht="4.5" customHeight="1">
      <c r="B16" s="427"/>
      <c r="C16" s="1638"/>
      <c r="D16" s="1611"/>
      <c r="E16" s="1611"/>
      <c r="F16" s="1611"/>
      <c r="G16" s="1611"/>
      <c r="H16" s="1631"/>
      <c r="I16" s="1631"/>
      <c r="J16" s="433"/>
      <c r="K16" s="433"/>
      <c r="L16" s="433"/>
      <c r="M16" s="433"/>
      <c r="N16" s="433"/>
      <c r="O16" s="433"/>
      <c r="P16" s="433"/>
      <c r="Q16" s="433"/>
      <c r="R16" s="433"/>
    </row>
    <row r="17" spans="2:18" s="431" customFormat="1" ht="15" customHeight="1">
      <c r="B17" s="430"/>
      <c r="C17" s="1629" t="str">
        <f>IF(Indice_index!$Z$1=1,"Receita efetiva","Effective revenue")</f>
        <v>Receita efetiva</v>
      </c>
      <c r="D17" s="1613">
        <v>11286.746105580001</v>
      </c>
      <c r="E17" s="1636">
        <v>12291.376130139999</v>
      </c>
      <c r="F17" s="1613">
        <v>11303.500000000002</v>
      </c>
      <c r="G17" s="1613">
        <v>12101.839085690001</v>
      </c>
      <c r="H17" s="1631">
        <f>IF(F17=0,"-",((G17/F17)-1)*100)</f>
        <v>7.0627600804175517</v>
      </c>
      <c r="I17" s="1631"/>
      <c r="J17" s="432"/>
      <c r="K17" s="432"/>
      <c r="L17" s="432"/>
      <c r="M17" s="432"/>
      <c r="N17" s="432"/>
      <c r="O17" s="432"/>
      <c r="P17" s="432"/>
      <c r="Q17" s="432"/>
      <c r="R17" s="432"/>
    </row>
    <row r="18" spans="2:18" s="423" customFormat="1" ht="4.5" customHeight="1">
      <c r="B18" s="427"/>
      <c r="C18" s="1639"/>
      <c r="D18" s="1610"/>
      <c r="E18" s="1630"/>
      <c r="F18" s="1610"/>
      <c r="G18" s="1610"/>
      <c r="H18" s="1634"/>
      <c r="I18" s="1634"/>
      <c r="J18" s="433"/>
      <c r="K18" s="433"/>
      <c r="L18" s="433"/>
      <c r="M18" s="433"/>
      <c r="N18" s="433"/>
      <c r="O18" s="433"/>
      <c r="P18" s="433"/>
      <c r="Q18" s="433"/>
      <c r="R18" s="433"/>
    </row>
    <row r="19" spans="2:18" s="431" customFormat="1" ht="15" customHeight="1">
      <c r="B19" s="430"/>
      <c r="C19" s="1629" t="str">
        <f>IF(Indice_index!$Z$1=1,"Despesa corrente","Current expenditure")</f>
        <v>Despesa corrente</v>
      </c>
      <c r="D19" s="1613">
        <v>12153.800000000001</v>
      </c>
      <c r="E19" s="1636">
        <v>12996.800000000001</v>
      </c>
      <c r="F19" s="1613">
        <v>12302.8</v>
      </c>
      <c r="G19" s="1613">
        <v>12936.8</v>
      </c>
      <c r="H19" s="1631">
        <f t="shared" ref="H19:H36" si="2">IF(F19=0,"-",((G19/F19)-1)*100)</f>
        <v>5.1532984361283507</v>
      </c>
      <c r="I19" s="1631">
        <f>IFERROR((G19-F19)/$F$38*100,"-")</f>
        <v>5.037943501926974</v>
      </c>
      <c r="J19" s="432"/>
      <c r="K19" s="432"/>
      <c r="L19" s="432"/>
      <c r="M19" s="432"/>
      <c r="N19" s="432"/>
      <c r="O19" s="432"/>
      <c r="P19" s="432"/>
      <c r="Q19" s="432"/>
      <c r="R19" s="432"/>
    </row>
    <row r="20" spans="2:18" s="423" customFormat="1" ht="15" customHeight="1">
      <c r="B20" s="427"/>
      <c r="C20" s="841" t="str">
        <f>IF(Indice_index!$Z$1=1,"Despesas com o pessoal","Employees")</f>
        <v>Despesas com o pessoal</v>
      </c>
      <c r="D20" s="1611">
        <v>5060.4000000000005</v>
      </c>
      <c r="E20" s="1611">
        <v>5247.9</v>
      </c>
      <c r="F20" s="1611">
        <v>5072.1000000000004</v>
      </c>
      <c r="G20" s="1611">
        <v>5328.4</v>
      </c>
      <c r="H20" s="1634">
        <f t="shared" si="2"/>
        <v>5.0531338104532475</v>
      </c>
      <c r="I20" s="1634">
        <f>IFERROR((G20-F20)/$F$38*100,"-")</f>
        <v>2.0366323652111666</v>
      </c>
      <c r="J20" s="433"/>
      <c r="K20" s="433"/>
      <c r="L20" s="433"/>
      <c r="M20" s="433"/>
      <c r="N20" s="433"/>
      <c r="O20" s="433"/>
      <c r="P20" s="433"/>
      <c r="Q20" s="433"/>
      <c r="R20" s="433"/>
    </row>
    <row r="21" spans="2:18" s="423" customFormat="1" ht="15" customHeight="1">
      <c r="B21" s="427"/>
      <c r="C21" s="1640" t="str">
        <f>IF(Indice_index!$Z$1=1,"Remunerações Certas e Permanentes","Certain and permanent wages")</f>
        <v>Remunerações Certas e Permanentes</v>
      </c>
      <c r="D21" s="1614">
        <v>3284.1</v>
      </c>
      <c r="E21" s="1614">
        <v>3431.7999999999997</v>
      </c>
      <c r="F21" s="1614">
        <v>3286.5</v>
      </c>
      <c r="G21" s="1614">
        <v>3475</v>
      </c>
      <c r="H21" s="1634">
        <f t="shared" si="2"/>
        <v>5.7355849688118132</v>
      </c>
      <c r="I21" s="1634">
        <f t="shared" ref="I21:I32" si="3">IFERROR((G21-F21)/$F$38*100,"-")</f>
        <v>1.4978743692637768</v>
      </c>
      <c r="J21" s="433"/>
      <c r="K21" s="433"/>
      <c r="L21" s="433"/>
      <c r="M21" s="433"/>
      <c r="N21" s="433"/>
      <c r="O21" s="433"/>
      <c r="P21" s="433"/>
      <c r="Q21" s="433"/>
      <c r="R21" s="433"/>
    </row>
    <row r="22" spans="2:18" s="423" customFormat="1" ht="15" customHeight="1">
      <c r="B22" s="427"/>
      <c r="C22" s="1640" t="str">
        <f>IF(Indice_index!$Z$1=1,"Abonos Variáveis ou Eventuais","Variable or contingent bonuses")</f>
        <v>Abonos Variáveis ou Eventuais</v>
      </c>
      <c r="D22" s="1611">
        <v>843.5</v>
      </c>
      <c r="E22" s="1614">
        <v>869.90000000000009</v>
      </c>
      <c r="F22" s="1611">
        <v>852</v>
      </c>
      <c r="G22" s="1611">
        <v>867.90000000000009</v>
      </c>
      <c r="H22" s="1634">
        <f t="shared" si="2"/>
        <v>1.8661971830985946</v>
      </c>
      <c r="I22" s="1634">
        <f t="shared" si="3"/>
        <v>0.12634590170447846</v>
      </c>
      <c r="J22" s="433"/>
      <c r="K22" s="433"/>
      <c r="L22" s="433"/>
      <c r="M22" s="433"/>
      <c r="N22" s="433"/>
      <c r="O22" s="433"/>
      <c r="P22" s="433"/>
      <c r="Q22" s="433"/>
      <c r="R22" s="433"/>
    </row>
    <row r="23" spans="2:18" s="423" customFormat="1" ht="15" customHeight="1">
      <c r="B23" s="427"/>
      <c r="C23" s="1640" t="str">
        <f>IF(Indice_index!$Z$1=1,"Segurança social","Social security")</f>
        <v>Segurança social</v>
      </c>
      <c r="D23" s="1611">
        <v>932.8</v>
      </c>
      <c r="E23" s="1614">
        <v>946.2</v>
      </c>
      <c r="F23" s="1611">
        <v>933.6</v>
      </c>
      <c r="G23" s="1611">
        <v>985.5</v>
      </c>
      <c r="H23" s="1634">
        <f t="shared" si="2"/>
        <v>5.5591259640102697</v>
      </c>
      <c r="I23" s="1634">
        <f t="shared" si="3"/>
        <v>0.41241209424291764</v>
      </c>
      <c r="J23" s="433"/>
      <c r="K23" s="433"/>
      <c r="L23" s="433"/>
      <c r="M23" s="433"/>
      <c r="N23" s="433"/>
      <c r="O23" s="433"/>
      <c r="P23" s="433"/>
      <c r="Q23" s="433"/>
      <c r="R23" s="433"/>
    </row>
    <row r="24" spans="2:18" s="423" customFormat="1" ht="15" customHeight="1">
      <c r="B24" s="427"/>
      <c r="C24" s="841" t="str">
        <f>IF(Indice_index!$Z$1=1,"Aquisição de bens e serviços","Purchase of goods and services")</f>
        <v>Aquisição de bens e serviços</v>
      </c>
      <c r="D24" s="1611">
        <v>6960.0999999999995</v>
      </c>
      <c r="E24" s="1611">
        <v>7520.7000000000016</v>
      </c>
      <c r="F24" s="1611">
        <v>7091.2</v>
      </c>
      <c r="G24" s="1611">
        <v>7517</v>
      </c>
      <c r="H24" s="1634">
        <f t="shared" si="2"/>
        <v>6.0046254512635455</v>
      </c>
      <c r="I24" s="1634">
        <f t="shared" si="3"/>
        <v>3.383527355079663</v>
      </c>
      <c r="J24" s="433"/>
      <c r="K24" s="433"/>
      <c r="L24" s="433"/>
      <c r="M24" s="433"/>
      <c r="N24" s="433"/>
      <c r="O24" s="433"/>
      <c r="P24" s="433"/>
      <c r="Q24" s="433"/>
      <c r="R24" s="433"/>
    </row>
    <row r="25" spans="2:18" s="423" customFormat="1" ht="15" customHeight="1">
      <c r="B25" s="427"/>
      <c r="C25" s="1635" t="str">
        <f>IF(Indice_index!$Z$1=1,"Produtos vendidos em farmácias","Medicines")</f>
        <v>Produtos vendidos em farmácias</v>
      </c>
      <c r="D25" s="1611">
        <v>1516.6</v>
      </c>
      <c r="E25" s="1611">
        <v>1701.8000000000002</v>
      </c>
      <c r="F25" s="1611">
        <v>1548.9</v>
      </c>
      <c r="G25" s="1611">
        <v>1730.8</v>
      </c>
      <c r="H25" s="1634">
        <f t="shared" si="2"/>
        <v>11.743818193556699</v>
      </c>
      <c r="I25" s="1634">
        <f t="shared" si="3"/>
        <v>1.4454289006317285</v>
      </c>
      <c r="J25" s="433"/>
      <c r="K25" s="433"/>
      <c r="L25" s="433"/>
      <c r="M25" s="433"/>
      <c r="N25" s="433"/>
      <c r="O25" s="433"/>
      <c r="P25" s="433"/>
      <c r="Q25" s="433"/>
      <c r="R25" s="433"/>
    </row>
    <row r="26" spans="2:18" s="423" customFormat="1" ht="15" customHeight="1">
      <c r="B26" s="427"/>
      <c r="C26" s="1635" t="str">
        <f>IF(Indice_index!$Z$1=1,"Meios complementares de diagnóstico e terapêutica e outros subcontratos","Complementary diagnosis and therapeutic means and other subcontracts")</f>
        <v>Meios complementares de diagnóstico e terapêutica e outros subcontratos</v>
      </c>
      <c r="D26" s="1611">
        <v>1718.7999999999997</v>
      </c>
      <c r="E26" s="1611">
        <v>1954.7000000000007</v>
      </c>
      <c r="F26" s="1611">
        <v>1741.3999999999999</v>
      </c>
      <c r="G26" s="1611">
        <v>1850.5000000000002</v>
      </c>
      <c r="H26" s="1634">
        <f t="shared" si="2"/>
        <v>6.2650740783278147</v>
      </c>
      <c r="I26" s="1634">
        <f t="shared" si="3"/>
        <v>0.86693948905399787</v>
      </c>
      <c r="J26" s="433"/>
      <c r="K26" s="433"/>
      <c r="L26" s="433"/>
      <c r="M26" s="433"/>
      <c r="N26" s="433"/>
      <c r="O26" s="433"/>
      <c r="P26" s="433"/>
      <c r="Q26" s="433"/>
      <c r="R26" s="433"/>
    </row>
    <row r="27" spans="2:18" s="423" customFormat="1" ht="15" customHeight="1">
      <c r="B27" s="427"/>
      <c r="C27" s="1635" t="str">
        <f>IF(Indice_index!$Z$1=1,"Parcerias público-privadas (PPP)","Public-Private Partnerships (PPP)")</f>
        <v>Parcerias público-privadas (PPP)</v>
      </c>
      <c r="D27" s="1611">
        <v>263.39999999999998</v>
      </c>
      <c r="E27" s="1611">
        <v>134.6</v>
      </c>
      <c r="F27" s="1611">
        <v>285.5</v>
      </c>
      <c r="G27" s="1611">
        <v>131.5</v>
      </c>
      <c r="H27" s="1634">
        <f t="shared" si="2"/>
        <v>-53.94045534150613</v>
      </c>
      <c r="I27" s="1634">
        <f t="shared" si="3"/>
        <v>-1.2237276014144383</v>
      </c>
      <c r="J27" s="433"/>
      <c r="K27" s="433"/>
      <c r="L27" s="433"/>
      <c r="M27" s="433"/>
      <c r="N27" s="433"/>
      <c r="O27" s="433"/>
      <c r="P27" s="433"/>
      <c r="Q27" s="433"/>
      <c r="R27" s="433"/>
    </row>
    <row r="28" spans="2:18" s="423" customFormat="1" ht="15" customHeight="1">
      <c r="B28" s="427"/>
      <c r="C28" s="1635" t="str">
        <f>IF(Indice_index!$Z$1=1,"Aquisição de bens (compras inventários)","Purchase of goods (inventories)")</f>
        <v>Aquisição de bens (compras inventários)</v>
      </c>
      <c r="D28" s="1611">
        <v>2421</v>
      </c>
      <c r="E28" s="1611">
        <v>2575.8000000000002</v>
      </c>
      <c r="F28" s="1611">
        <v>2458.6999999999998</v>
      </c>
      <c r="G28" s="1611">
        <v>2562.7999999999997</v>
      </c>
      <c r="H28" s="1634">
        <f t="shared" si="2"/>
        <v>4.2339447675600939</v>
      </c>
      <c r="I28" s="1634">
        <f t="shared" si="3"/>
        <v>0.82720807342365532</v>
      </c>
      <c r="J28" s="433"/>
      <c r="K28" s="433"/>
      <c r="L28" s="433"/>
      <c r="M28" s="433"/>
      <c r="N28" s="433"/>
      <c r="O28" s="433"/>
      <c r="P28" s="433"/>
      <c r="Q28" s="433"/>
      <c r="R28" s="433"/>
    </row>
    <row r="29" spans="2:18" s="423" customFormat="1" ht="15" customHeight="1">
      <c r="B29" s="427"/>
      <c r="C29" s="1635" t="str">
        <f>IF(Indice_index!$Z$1=1,"Outras aquisições de bens e serviços","Other acquisitions of goods and services")</f>
        <v>Outras aquisições de bens e serviços</v>
      </c>
      <c r="D29" s="1611">
        <v>1040.3</v>
      </c>
      <c r="E29" s="1611">
        <v>1153.8</v>
      </c>
      <c r="F29" s="1611">
        <v>1056.7</v>
      </c>
      <c r="G29" s="1611">
        <v>1241.4000000000001</v>
      </c>
      <c r="H29" s="1634">
        <f t="shared" si="2"/>
        <v>17.47894388189648</v>
      </c>
      <c r="I29" s="1634">
        <f t="shared" si="3"/>
        <v>1.4676784933847196</v>
      </c>
      <c r="J29" s="433"/>
      <c r="K29" s="433"/>
      <c r="L29" s="433"/>
      <c r="M29" s="433"/>
      <c r="N29" s="433"/>
      <c r="O29" s="433"/>
      <c r="P29" s="433"/>
      <c r="Q29" s="433"/>
      <c r="R29" s="433"/>
    </row>
    <row r="30" spans="2:18" s="423" customFormat="1" ht="15" customHeight="1">
      <c r="B30" s="427"/>
      <c r="C30" s="841" t="str">
        <f>IF(Indice_index!$Z$1=1,"Juros e outros encargos","Interests and other charges")</f>
        <v>Juros e outros encargos</v>
      </c>
      <c r="D30" s="1611">
        <v>2.2000000000000002</v>
      </c>
      <c r="E30" s="1611">
        <v>0.8</v>
      </c>
      <c r="F30" s="1611">
        <v>0.8</v>
      </c>
      <c r="G30" s="1611">
        <v>2</v>
      </c>
      <c r="H30" s="1633">
        <f t="shared" si="2"/>
        <v>150</v>
      </c>
      <c r="I30" s="1634">
        <f t="shared" si="3"/>
        <v>9.5355397512813383E-3</v>
      </c>
      <c r="J30" s="433"/>
      <c r="K30" s="433"/>
      <c r="L30" s="433"/>
      <c r="M30" s="433"/>
      <c r="N30" s="433"/>
      <c r="O30" s="433"/>
      <c r="P30" s="433"/>
      <c r="Q30" s="433"/>
      <c r="R30" s="433"/>
    </row>
    <row r="31" spans="2:18" s="423" customFormat="1" ht="15" customHeight="1">
      <c r="B31" s="427"/>
      <c r="C31" s="841" t="str">
        <f>IF(Indice_index!$Z$1=1,"Transferências correntes","Current transfers")</f>
        <v>Transferências correntes</v>
      </c>
      <c r="D31" s="1611">
        <v>127.9</v>
      </c>
      <c r="E31" s="1611">
        <v>200.4</v>
      </c>
      <c r="F31" s="1611">
        <v>128.19999999999999</v>
      </c>
      <c r="G31" s="1611">
        <v>85.9</v>
      </c>
      <c r="H31" s="1633">
        <f t="shared" si="2"/>
        <v>-32.995319812792502</v>
      </c>
      <c r="I31" s="1634">
        <f t="shared" si="3"/>
        <v>-0.33612777623266704</v>
      </c>
      <c r="J31" s="433"/>
      <c r="K31" s="433"/>
      <c r="L31" s="433"/>
      <c r="M31" s="433"/>
      <c r="N31" s="433"/>
      <c r="O31" s="433"/>
      <c r="P31" s="433"/>
      <c r="Q31" s="433"/>
      <c r="R31" s="433"/>
    </row>
    <row r="32" spans="2:18" s="423" customFormat="1" ht="15" customHeight="1">
      <c r="B32" s="427"/>
      <c r="C32" s="841" t="str">
        <f>IF(Indice_index!$Z$1=1,"Outras despesas correntes","Other current expenditures")</f>
        <v>Outras despesas correntes</v>
      </c>
      <c r="D32" s="1611">
        <v>3.2</v>
      </c>
      <c r="E32" s="1611">
        <v>27</v>
      </c>
      <c r="F32" s="1611">
        <v>10.5</v>
      </c>
      <c r="G32" s="1611">
        <v>3.5</v>
      </c>
      <c r="H32" s="1634">
        <f t="shared" si="2"/>
        <v>-66.666666666666671</v>
      </c>
      <c r="I32" s="1634">
        <f t="shared" si="3"/>
        <v>-5.5623981882474471E-2</v>
      </c>
      <c r="J32" s="433"/>
      <c r="K32" s="433"/>
      <c r="L32" s="433"/>
      <c r="M32" s="433"/>
      <c r="N32" s="433"/>
      <c r="O32" s="433"/>
      <c r="P32" s="433"/>
      <c r="Q32" s="433"/>
      <c r="R32" s="433"/>
    </row>
    <row r="33" spans="2:26" s="431" customFormat="1" ht="15" customHeight="1">
      <c r="B33" s="430"/>
      <c r="C33" s="1629" t="str">
        <f>IF(Indice_index!$Z$1=1,"Despesa de capital","Capital expenditure")</f>
        <v>Despesa de capital</v>
      </c>
      <c r="D33" s="1615">
        <v>233</v>
      </c>
      <c r="E33" s="1641">
        <v>555.20000000000005</v>
      </c>
      <c r="F33" s="1615">
        <v>281.70000000000005</v>
      </c>
      <c r="G33" s="1615">
        <v>231.6</v>
      </c>
      <c r="H33" s="1637">
        <f t="shared" si="2"/>
        <v>-17.78487752928649</v>
      </c>
      <c r="I33" s="1631">
        <f>IFERROR((G33-F33)/$F$38*100,"-")</f>
        <v>-0.3981087846159963</v>
      </c>
      <c r="J33" s="432"/>
      <c r="K33" s="432"/>
      <c r="L33" s="432"/>
      <c r="M33" s="432"/>
      <c r="N33" s="432"/>
      <c r="O33" s="432"/>
      <c r="P33" s="432"/>
      <c r="Q33" s="432"/>
      <c r="R33" s="432"/>
    </row>
    <row r="34" spans="2:26" s="423" customFormat="1" ht="15" customHeight="1">
      <c r="B34" s="427"/>
      <c r="C34" s="841" t="str">
        <f>IF(Indice_index!$Z$1=1,"Investimentos","Investments")</f>
        <v>Investimentos</v>
      </c>
      <c r="D34" s="1611">
        <v>232.4</v>
      </c>
      <c r="E34" s="1616">
        <v>509.2</v>
      </c>
      <c r="F34" s="1611">
        <v>281.10000000000002</v>
      </c>
      <c r="G34" s="1611">
        <v>230.1</v>
      </c>
      <c r="H34" s="1633">
        <f t="shared" si="2"/>
        <v>-18.143009605122739</v>
      </c>
      <c r="I34" s="1634">
        <f>IFERROR((G34-F34)/$F$38*100,"-")</f>
        <v>-0.40526043942945716</v>
      </c>
      <c r="J34" s="433"/>
      <c r="K34" s="433"/>
      <c r="L34" s="433"/>
      <c r="M34" s="433"/>
      <c r="N34" s="433"/>
      <c r="O34" s="433"/>
      <c r="P34" s="433"/>
      <c r="Q34" s="433"/>
      <c r="R34" s="433"/>
    </row>
    <row r="35" spans="2:26" s="423" customFormat="1" ht="15" customHeight="1">
      <c r="B35" s="434"/>
      <c r="C35" s="841" t="str">
        <f>IF(Indice_index!$Z$1=1,"Transferências de capital","Capital transfers")</f>
        <v>Transferências de capital</v>
      </c>
      <c r="D35" s="1611">
        <v>0.6</v>
      </c>
      <c r="E35" s="1616">
        <v>46</v>
      </c>
      <c r="F35" s="1611">
        <v>0.6</v>
      </c>
      <c r="G35" s="1611">
        <v>1.5</v>
      </c>
      <c r="H35" s="1633">
        <f t="shared" si="2"/>
        <v>150</v>
      </c>
      <c r="I35" s="1634">
        <f t="shared" ref="I35:I36" si="4">IFERROR((G35-F35)/$F$38*100,"-")</f>
        <v>7.1516548134610029E-3</v>
      </c>
      <c r="J35" s="433"/>
      <c r="K35" s="433"/>
      <c r="L35" s="433"/>
      <c r="M35" s="433"/>
      <c r="N35" s="433"/>
      <c r="O35" s="433"/>
      <c r="P35" s="433"/>
      <c r="Q35" s="433"/>
      <c r="R35" s="433"/>
    </row>
    <row r="36" spans="2:26" s="423" customFormat="1" ht="15" customHeight="1">
      <c r="B36" s="427"/>
      <c r="C36" s="841" t="str">
        <f>IF(Indice_index!$Z$1=1,"Outras despesas de capital","Other capital expenditures")</f>
        <v>Outras despesas de capital</v>
      </c>
      <c r="D36" s="1616">
        <v>0</v>
      </c>
      <c r="E36" s="1616">
        <v>0</v>
      </c>
      <c r="F36" s="1616">
        <v>0</v>
      </c>
      <c r="G36" s="1616">
        <v>0</v>
      </c>
      <c r="H36" s="1642" t="str">
        <f t="shared" si="2"/>
        <v>-</v>
      </c>
      <c r="I36" s="1634">
        <f t="shared" si="4"/>
        <v>0</v>
      </c>
      <c r="J36" s="433"/>
      <c r="K36" s="433"/>
      <c r="L36" s="433"/>
      <c r="M36" s="433"/>
      <c r="N36" s="433"/>
      <c r="O36" s="433"/>
      <c r="P36" s="433"/>
      <c r="Q36" s="433"/>
      <c r="R36" s="433"/>
    </row>
    <row r="37" spans="2:26" s="423" customFormat="1" ht="4.5" customHeight="1">
      <c r="B37" s="427"/>
      <c r="C37" s="1643"/>
      <c r="D37" s="1610"/>
      <c r="E37" s="1630"/>
      <c r="F37" s="1610"/>
      <c r="G37" s="1610"/>
      <c r="H37" s="1633"/>
      <c r="I37" s="1633"/>
      <c r="J37" s="433"/>
      <c r="K37" s="433"/>
      <c r="L37" s="433"/>
      <c r="M37" s="433"/>
      <c r="N37" s="433"/>
      <c r="O37" s="433"/>
      <c r="P37" s="433"/>
      <c r="Q37" s="433"/>
      <c r="R37" s="433"/>
    </row>
    <row r="38" spans="2:26" s="431" customFormat="1" ht="15" customHeight="1">
      <c r="B38" s="430"/>
      <c r="C38" s="1629" t="str">
        <f>IF(Indice_index!$Z$1=1,"Despesa efetiva","Effective expenditure")</f>
        <v>Despesa efetiva</v>
      </c>
      <c r="D38" s="1617">
        <v>12386.800000000001</v>
      </c>
      <c r="E38" s="1644">
        <v>13552.000000000002</v>
      </c>
      <c r="F38" s="1617">
        <v>12584.5</v>
      </c>
      <c r="G38" s="1617">
        <v>13168.4</v>
      </c>
      <c r="H38" s="1645">
        <f>IF(F38=0,"-",((G38/F38)-1)*100)</f>
        <v>4.6398347173109755</v>
      </c>
      <c r="I38" s="1645"/>
      <c r="J38" s="432"/>
      <c r="K38" s="432"/>
      <c r="L38" s="432"/>
      <c r="M38" s="432"/>
      <c r="N38" s="432"/>
      <c r="O38" s="432"/>
      <c r="P38" s="432"/>
      <c r="Q38" s="432"/>
      <c r="R38" s="432"/>
    </row>
    <row r="39" spans="2:26" s="423" customFormat="1" ht="4.5" customHeight="1">
      <c r="B39" s="427"/>
      <c r="C39" s="1646"/>
      <c r="D39" s="1617"/>
      <c r="E39" s="1644"/>
      <c r="F39" s="1617"/>
      <c r="G39" s="1617"/>
      <c r="H39" s="1645"/>
      <c r="I39" s="1645"/>
      <c r="J39" s="433"/>
      <c r="K39" s="433"/>
      <c r="L39" s="433"/>
      <c r="M39" s="433"/>
      <c r="N39" s="433"/>
      <c r="O39" s="433"/>
      <c r="P39" s="433"/>
      <c r="Q39" s="433"/>
      <c r="R39" s="433"/>
    </row>
    <row r="40" spans="2:26" s="431" customFormat="1" ht="15" customHeight="1">
      <c r="B40" s="430"/>
      <c r="C40" s="1647" t="str">
        <f>IF(Indice_index!$Z$1=1,"Saldo global","Overall balance")</f>
        <v>Saldo global</v>
      </c>
      <c r="D40" s="1618">
        <v>-1100.0538944199998</v>
      </c>
      <c r="E40" s="1648">
        <v>-1260.6238698600027</v>
      </c>
      <c r="F40" s="1618">
        <v>-1280.9999999999982</v>
      </c>
      <c r="G40" s="1618">
        <v>-1066.5609143099991</v>
      </c>
      <c r="H40" s="1618"/>
      <c r="I40" s="1618"/>
      <c r="J40" s="432"/>
      <c r="K40" s="432"/>
      <c r="L40" s="432"/>
      <c r="M40" s="432"/>
      <c r="N40" s="432"/>
      <c r="O40" s="432"/>
      <c r="P40" s="432"/>
      <c r="Q40" s="432"/>
      <c r="R40" s="432"/>
    </row>
    <row r="41" spans="2:26" s="431" customFormat="1" ht="4.5" customHeight="1">
      <c r="B41" s="430"/>
      <c r="C41" s="1629"/>
      <c r="D41" s="1629"/>
      <c r="E41" s="1639"/>
      <c r="F41" s="1629"/>
      <c r="G41" s="1629"/>
      <c r="H41" s="1629"/>
      <c r="I41" s="1629"/>
      <c r="J41" s="432"/>
      <c r="K41" s="432"/>
      <c r="L41" s="432"/>
      <c r="M41" s="432"/>
      <c r="N41" s="432"/>
      <c r="O41" s="432"/>
      <c r="P41" s="432"/>
      <c r="Q41" s="432"/>
      <c r="R41" s="432"/>
    </row>
    <row r="42" spans="2:26" s="137" customFormat="1" ht="15" customHeight="1">
      <c r="C42" s="427" t="str">
        <f>IF(Indice_index!$Z$1=1,"Fonte: Administração Central do Sistema de Saúde, IP.","Source: Health System Central Administration")</f>
        <v>Fonte: Administração Central do Sistema de Saúde, IP.</v>
      </c>
      <c r="D42" s="1649"/>
      <c r="E42" s="1649"/>
      <c r="F42" s="1649"/>
      <c r="G42" s="1649"/>
      <c r="H42" s="367"/>
      <c r="I42" s="367"/>
      <c r="X42" s="4"/>
      <c r="Y42" s="4"/>
      <c r="Z42" s="4"/>
    </row>
    <row r="43" spans="2:26" s="423" customFormat="1" ht="11.25" customHeight="1">
      <c r="C43" s="427" t="s">
        <v>605</v>
      </c>
      <c r="D43" s="424"/>
      <c r="E43" s="424"/>
      <c r="F43" s="424"/>
    </row>
    <row r="44" spans="2:26" s="423" customFormat="1">
      <c r="C44" s="455"/>
      <c r="D44" s="424"/>
      <c r="E44" s="424"/>
      <c r="F44" s="424"/>
    </row>
    <row r="45" spans="2:26" s="423" customFormat="1">
      <c r="C45" s="455"/>
      <c r="D45" s="424"/>
      <c r="E45" s="424"/>
      <c r="F45" s="424"/>
    </row>
    <row r="46" spans="2:26" s="423" customFormat="1">
      <c r="C46" s="455"/>
      <c r="D46" s="424"/>
      <c r="E46" s="424"/>
      <c r="F46" s="424"/>
    </row>
    <row r="47" spans="2:26" s="423" customFormat="1">
      <c r="C47" s="368"/>
      <c r="D47" s="368"/>
      <c r="E47" s="368"/>
      <c r="F47" s="368"/>
      <c r="H47" s="435"/>
      <c r="I47" s="435"/>
    </row>
    <row r="48" spans="2:26" s="423" customFormat="1">
      <c r="C48" s="368"/>
      <c r="D48" s="368"/>
      <c r="E48" s="368"/>
      <c r="F48" s="368"/>
      <c r="H48" s="435"/>
      <c r="I48" s="435"/>
    </row>
    <row r="49" spans="8:9" s="423" customFormat="1">
      <c r="H49" s="435"/>
      <c r="I49" s="435"/>
    </row>
    <row r="50" spans="8:9" s="423" customFormat="1">
      <c r="H50" s="435"/>
      <c r="I50" s="435"/>
    </row>
    <row r="51" spans="8:9" s="423" customFormat="1">
      <c r="H51" s="435"/>
      <c r="I51" s="435"/>
    </row>
    <row r="52" spans="8:9" s="423" customFormat="1">
      <c r="H52" s="435"/>
      <c r="I52" s="435"/>
    </row>
    <row r="53" spans="8:9" s="423" customFormat="1">
      <c r="H53" s="435"/>
      <c r="I53" s="435"/>
    </row>
    <row r="54" spans="8:9" s="423" customFormat="1">
      <c r="H54" s="435"/>
      <c r="I54" s="435"/>
    </row>
    <row r="55" spans="8:9" s="423" customFormat="1">
      <c r="H55" s="435"/>
      <c r="I55" s="435"/>
    </row>
    <row r="56" spans="8:9" s="423" customFormat="1">
      <c r="H56" s="435"/>
      <c r="I56" s="435"/>
    </row>
    <row r="57" spans="8:9" s="423" customFormat="1">
      <c r="H57" s="435"/>
      <c r="I57" s="435"/>
    </row>
    <row r="58" spans="8:9" s="423" customFormat="1">
      <c r="H58" s="435"/>
      <c r="I58" s="435"/>
    </row>
    <row r="59" spans="8:9" s="423" customFormat="1">
      <c r="H59" s="435"/>
      <c r="I59" s="435"/>
    </row>
    <row r="60" spans="8:9" s="423" customFormat="1">
      <c r="H60" s="435"/>
      <c r="I60" s="435"/>
    </row>
    <row r="61" spans="8:9" s="423" customFormat="1">
      <c r="H61" s="435"/>
      <c r="I61" s="435"/>
    </row>
    <row r="62" spans="8:9" s="423" customFormat="1">
      <c r="H62" s="435"/>
      <c r="I62" s="435"/>
    </row>
    <row r="63" spans="8:9" s="423" customFormat="1">
      <c r="H63" s="435"/>
      <c r="I63" s="435"/>
    </row>
    <row r="64" spans="8:9" s="423" customFormat="1">
      <c r="H64" s="435"/>
      <c r="I64" s="435"/>
    </row>
    <row r="65" spans="8:9" s="423" customFormat="1">
      <c r="H65" s="435"/>
      <c r="I65" s="435"/>
    </row>
    <row r="66" spans="8:9" s="423" customFormat="1">
      <c r="H66" s="435"/>
      <c r="I66" s="435"/>
    </row>
    <row r="67" spans="8:9" s="423" customFormat="1">
      <c r="H67" s="435"/>
      <c r="I67" s="435"/>
    </row>
    <row r="68" spans="8:9" s="423" customFormat="1">
      <c r="H68" s="435"/>
      <c r="I68" s="435"/>
    </row>
    <row r="69" spans="8:9" s="423" customFormat="1"/>
    <row r="70" spans="8:9" s="423" customFormat="1"/>
    <row r="71" spans="8:9" s="423" customFormat="1"/>
    <row r="72" spans="8:9" s="423" customFormat="1"/>
    <row r="73" spans="8:9" s="423" customFormat="1"/>
    <row r="74" spans="8:9" s="423" customFormat="1"/>
    <row r="75" spans="8:9" s="423" customFormat="1"/>
    <row r="76" spans="8:9" s="423" customFormat="1"/>
    <row r="77" spans="8:9" s="423" customFormat="1"/>
    <row r="78" spans="8:9" s="423" customFormat="1"/>
    <row r="79" spans="8:9" s="423" customFormat="1"/>
    <row r="80" spans="8:9" s="423" customFormat="1"/>
    <row r="81" s="423" customFormat="1"/>
    <row r="82" s="423" customFormat="1"/>
    <row r="83" s="423" customFormat="1"/>
    <row r="84" s="423" customFormat="1"/>
    <row r="85" s="423" customFormat="1"/>
    <row r="86" s="423" customFormat="1"/>
    <row r="87" s="423" customFormat="1"/>
    <row r="88" s="423" customFormat="1"/>
    <row r="89" s="423" customFormat="1"/>
    <row r="90" s="423" customFormat="1"/>
    <row r="91" s="423" customFormat="1"/>
    <row r="92" s="423" customFormat="1"/>
    <row r="93" s="423" customFormat="1"/>
    <row r="94" s="423" customFormat="1"/>
    <row r="95" s="423" customFormat="1"/>
    <row r="96" s="423" customFormat="1"/>
    <row r="97" s="423" customFormat="1"/>
    <row r="98" s="423" customFormat="1"/>
    <row r="99" s="423" customFormat="1"/>
    <row r="100" s="423" customFormat="1"/>
    <row r="101" s="423" customFormat="1"/>
    <row r="102" s="423" customFormat="1"/>
    <row r="103" s="423" customFormat="1"/>
    <row r="104" s="423" customFormat="1"/>
    <row r="105" s="423" customFormat="1"/>
    <row r="106" s="423" customFormat="1"/>
    <row r="107" s="423" customFormat="1"/>
    <row r="108" s="423" customFormat="1"/>
    <row r="109" s="423" customFormat="1"/>
    <row r="110" s="423" customFormat="1"/>
    <row r="111" s="423" customFormat="1"/>
    <row r="112" s="423" customFormat="1"/>
    <row r="113" s="423" customFormat="1"/>
    <row r="114" s="423" customFormat="1" ht="12" customHeight="1"/>
    <row r="115" s="423" customFormat="1"/>
    <row r="116" s="423" customFormat="1"/>
    <row r="117" s="423" customFormat="1"/>
    <row r="118" s="423" customFormat="1"/>
    <row r="119" s="423" customFormat="1"/>
    <row r="120" s="423" customFormat="1"/>
    <row r="121" s="423" customFormat="1"/>
    <row r="122" s="423" customFormat="1"/>
    <row r="123" s="423" customFormat="1"/>
    <row r="124" s="423" customFormat="1"/>
    <row r="125" s="423" customFormat="1"/>
    <row r="126" s="423" customFormat="1"/>
    <row r="127" s="423" customFormat="1"/>
    <row r="128" s="423" customFormat="1"/>
    <row r="129" s="423" customFormat="1"/>
    <row r="130" s="423" customFormat="1"/>
    <row r="131" s="423" customFormat="1"/>
    <row r="132" s="423" customFormat="1"/>
    <row r="133" s="423" customFormat="1"/>
    <row r="134" s="423" customFormat="1"/>
    <row r="135" s="423" customFormat="1"/>
    <row r="136" s="423" customFormat="1"/>
    <row r="137" s="423" customFormat="1"/>
    <row r="138" s="423" customFormat="1"/>
    <row r="139" s="423" customFormat="1"/>
    <row r="140" s="423" customFormat="1"/>
    <row r="141" s="423" customFormat="1"/>
    <row r="142" s="423" customFormat="1"/>
    <row r="143" s="423" customFormat="1"/>
    <row r="144" s="423" customFormat="1"/>
    <row r="145" s="423" customFormat="1"/>
    <row r="146" s="423" customFormat="1"/>
    <row r="147" s="423" customFormat="1"/>
    <row r="148" s="423" customFormat="1"/>
    <row r="149" s="423" customFormat="1"/>
    <row r="150" s="423" customFormat="1"/>
    <row r="151" s="423" customFormat="1"/>
    <row r="152" s="423" customFormat="1"/>
    <row r="153" s="423" customFormat="1"/>
    <row r="154" s="423" customFormat="1"/>
    <row r="155" s="423" customFormat="1"/>
    <row r="156" s="423" customFormat="1"/>
    <row r="157" s="423" customFormat="1"/>
    <row r="158" s="423" customFormat="1"/>
    <row r="159" s="423" customFormat="1"/>
    <row r="160" s="423" customFormat="1"/>
    <row r="161" s="423" customFormat="1"/>
    <row r="162" s="423" customFormat="1"/>
    <row r="163" s="423" customFormat="1"/>
    <row r="164" s="423" customFormat="1"/>
    <row r="165" s="423" customFormat="1"/>
    <row r="166" s="423" customFormat="1"/>
    <row r="167" s="423" customFormat="1"/>
    <row r="168" s="423" customFormat="1"/>
    <row r="169" s="423" customFormat="1"/>
    <row r="170" s="423" customFormat="1"/>
    <row r="171" s="423" customFormat="1"/>
    <row r="172" s="423" customFormat="1"/>
    <row r="173" s="423" customFormat="1"/>
    <row r="174" s="423" customFormat="1"/>
    <row r="175" s="423" customFormat="1"/>
    <row r="176" s="423" customFormat="1"/>
    <row r="177" s="423" customFormat="1"/>
    <row r="178" s="423" customFormat="1"/>
    <row r="179" s="423" customFormat="1"/>
    <row r="180" s="423" customFormat="1"/>
    <row r="181" s="423" customFormat="1"/>
    <row r="182" s="423" customFormat="1"/>
    <row r="183" s="423" customFormat="1"/>
    <row r="184" s="423" customFormat="1"/>
    <row r="185" s="423" customFormat="1"/>
    <row r="186" s="423" customFormat="1"/>
    <row r="187" s="423" customFormat="1"/>
    <row r="188" s="423" customFormat="1"/>
    <row r="189" s="423" customFormat="1"/>
    <row r="190" s="423" customFormat="1"/>
    <row r="191" s="423" customFormat="1"/>
    <row r="192" s="423" customFormat="1"/>
    <row r="193" s="423" customFormat="1"/>
    <row r="194" s="423" customFormat="1"/>
    <row r="195" s="423" customFormat="1"/>
    <row r="196" s="423" customFormat="1"/>
    <row r="197" s="423" customFormat="1"/>
    <row r="198" s="423" customFormat="1"/>
    <row r="199" s="423" customFormat="1"/>
    <row r="200" s="423" customFormat="1"/>
    <row r="201" s="423" customFormat="1"/>
    <row r="202" s="423" customFormat="1"/>
    <row r="203" s="423" customFormat="1"/>
    <row r="204" s="423" customFormat="1"/>
    <row r="205" s="423" customFormat="1"/>
    <row r="206" s="423" customFormat="1"/>
    <row r="207" s="423" customFormat="1"/>
    <row r="208" s="423" customFormat="1"/>
    <row r="209" s="423" customFormat="1"/>
    <row r="210" s="423" customFormat="1"/>
    <row r="211" s="423" customFormat="1"/>
    <row r="212" s="423" customFormat="1"/>
    <row r="213" s="423" customFormat="1"/>
    <row r="214" s="423" customFormat="1"/>
    <row r="215" s="423" customFormat="1"/>
    <row r="216" s="423" customFormat="1"/>
    <row r="217" s="423" customFormat="1"/>
    <row r="218" s="423" customFormat="1"/>
    <row r="219" s="423" customFormat="1"/>
    <row r="220" s="423" customFormat="1"/>
    <row r="221" s="423" customFormat="1"/>
    <row r="222" s="423" customFormat="1"/>
    <row r="223" s="423" customFormat="1"/>
    <row r="224" s="423" customFormat="1"/>
    <row r="225" s="423" customFormat="1"/>
    <row r="226" s="423" customFormat="1"/>
    <row r="227" s="423" customFormat="1"/>
    <row r="228" s="423" customFormat="1"/>
    <row r="229" s="423" customFormat="1"/>
    <row r="230" s="423" customFormat="1"/>
    <row r="231" s="423" customFormat="1"/>
    <row r="232" s="423" customFormat="1"/>
    <row r="233" s="423" customFormat="1"/>
    <row r="234" s="423" customFormat="1"/>
    <row r="235" s="423" customFormat="1"/>
    <row r="236" s="423" customFormat="1"/>
    <row r="237" s="423" customFormat="1"/>
    <row r="238" s="423" customFormat="1"/>
    <row r="239" s="423" customFormat="1"/>
    <row r="240" s="423" customFormat="1"/>
    <row r="241" s="423" customFormat="1"/>
    <row r="242" s="423" customFormat="1"/>
    <row r="243" s="423" customFormat="1"/>
    <row r="244" s="423" customFormat="1"/>
    <row r="245" s="423" customFormat="1"/>
    <row r="246" s="423" customFormat="1"/>
    <row r="247" s="423" customFormat="1"/>
    <row r="248" s="423" customFormat="1"/>
    <row r="249" s="423" customFormat="1"/>
    <row r="250" s="423" customFormat="1"/>
    <row r="251" s="423" customFormat="1"/>
    <row r="252" s="423" customFormat="1"/>
    <row r="253" s="423" customFormat="1"/>
    <row r="254" s="423" customFormat="1"/>
    <row r="255" s="423" customFormat="1"/>
    <row r="256" s="423" customFormat="1"/>
    <row r="257" s="423" customFormat="1"/>
    <row r="258" s="423" customFormat="1"/>
    <row r="259" s="423" customFormat="1"/>
    <row r="260" s="423" customFormat="1"/>
    <row r="261" s="423" customFormat="1"/>
    <row r="262" s="423" customFormat="1"/>
    <row r="263" s="423" customFormat="1"/>
    <row r="264" s="423" customFormat="1"/>
    <row r="265" s="423" customFormat="1"/>
    <row r="266" s="423" customFormat="1"/>
    <row r="267" s="423" customFormat="1"/>
    <row r="268" s="423" customFormat="1"/>
    <row r="269" s="423"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3"/>
  <sheetViews>
    <sheetView showGridLines="0" zoomScaleNormal="100" zoomScaleSheetLayoutView="100" workbookViewId="0">
      <selection activeCell="B2" sqref="B2"/>
    </sheetView>
  </sheetViews>
  <sheetFormatPr defaultColWidth="9.140625" defaultRowHeight="12.75"/>
  <cols>
    <col min="1" max="1" width="3.42578125" style="137" customWidth="1"/>
    <col min="2" max="2" width="4.42578125" style="137" customWidth="1"/>
    <col min="3" max="3" width="2.140625" style="137" customWidth="1"/>
    <col min="4" max="4" width="31.5703125" style="137" customWidth="1"/>
    <col min="5" max="11" width="7.42578125" style="137" customWidth="1"/>
    <col min="12" max="16" width="7.5703125" style="137" customWidth="1"/>
    <col min="17" max="17" width="6.42578125" style="137" customWidth="1"/>
    <col min="18" max="18" width="7.42578125" style="137" customWidth="1"/>
    <col min="19" max="19" width="11" style="137" bestFit="1" customWidth="1"/>
    <col min="20" max="20" width="12" style="137" bestFit="1" customWidth="1"/>
    <col min="21" max="27" width="9.140625" style="137"/>
    <col min="28" max="28" width="12.42578125" style="4" hidden="1" customWidth="1"/>
    <col min="29" max="30" width="9.140625" style="4" hidden="1" customWidth="1"/>
    <col min="31" max="16384" width="9.14062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Dívida não Financeira das Administrações Públicas</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1305" t="str">
        <f>+'5 - Conta AC + SS'!C5</f>
        <v>Período: janeiro a dezembro</v>
      </c>
      <c r="D5" s="1306"/>
      <c r="E5" s="1307"/>
      <c r="F5" s="1307"/>
      <c r="G5" s="1307"/>
      <c r="H5" s="1307"/>
      <c r="I5" s="1307"/>
      <c r="J5" s="1307"/>
      <c r="K5" s="1307"/>
      <c r="L5" s="1307"/>
      <c r="M5" s="1307"/>
      <c r="N5" s="1307"/>
      <c r="O5" s="1307"/>
      <c r="P5" s="1307"/>
      <c r="S5" s="313"/>
      <c r="AB5" s="249"/>
      <c r="AC5" s="249"/>
      <c r="AD5" s="249"/>
    </row>
    <row r="6" spans="1:36" s="315" customFormat="1" ht="15" customHeight="1">
      <c r="B6" s="313"/>
      <c r="D6" s="1306" t="str">
        <f>IF(Indice_index!$Z$1=1,"Passivo não financeiro das Administrações Públicas  - Stock em fim de período","Non financial Liabilities from General Government - Stock in the end of the period")</f>
        <v>Passivo não financeiro das Administrações Públicas  - Stock em fim de período</v>
      </c>
      <c r="E6" s="1308"/>
      <c r="F6" s="1308"/>
      <c r="K6" s="1308"/>
      <c r="S6" s="449"/>
      <c r="AB6" s="249"/>
      <c r="AC6" s="249"/>
      <c r="AD6" s="249"/>
    </row>
    <row r="7" spans="1:36" s="315" customFormat="1">
      <c r="B7" s="313"/>
      <c r="D7" s="1306"/>
      <c r="R7" s="1309" t="str">
        <f>IF(Indice_index!$Z$1=1,"€ Milhões","€ Millions")</f>
        <v>€ Milhões</v>
      </c>
      <c r="S7" s="449"/>
      <c r="AB7" s="249"/>
      <c r="AC7" s="249"/>
      <c r="AD7" s="249"/>
    </row>
    <row r="8" spans="1:36" s="168" customFormat="1" ht="12.75" customHeight="1">
      <c r="B8" s="111"/>
      <c r="C8" s="1778" t="str">
        <f>IF(Indice_index!$Z$1=1,"Natureza da Dívida","Nature of Debt")</f>
        <v>Natureza da Dívida</v>
      </c>
      <c r="D8" s="1779"/>
      <c r="E8" s="1360">
        <v>2021</v>
      </c>
      <c r="F8" s="1786">
        <v>2022</v>
      </c>
      <c r="G8" s="1787"/>
      <c r="H8" s="1787"/>
      <c r="I8" s="1787"/>
      <c r="J8" s="1787"/>
      <c r="K8" s="1787"/>
      <c r="L8" s="1787"/>
      <c r="M8" s="1787"/>
      <c r="N8" s="1787"/>
      <c r="O8" s="1787"/>
      <c r="P8" s="1787"/>
      <c r="Q8" s="1788"/>
      <c r="R8" s="1776" t="str">
        <f>IF(Indice_index!$Z$1=1,"variação mensal","monthly variation")</f>
        <v>variação mensal</v>
      </c>
      <c r="S8" s="450"/>
      <c r="AB8" s="18"/>
      <c r="AC8" s="18"/>
      <c r="AD8" s="18"/>
    </row>
    <row r="9" spans="1:36" s="168" customFormat="1" ht="15.75" customHeight="1">
      <c r="B9" s="111"/>
      <c r="C9" s="1780"/>
      <c r="D9" s="1781"/>
      <c r="E9" s="1310" t="str">
        <f>IF(Indice_index!$Z$1=1,"dez*","Dec*")</f>
        <v>dez*</v>
      </c>
      <c r="F9" s="1310" t="str">
        <f>IF(Indice_index!$Z$1=1,"jan*","Jan*")</f>
        <v>jan*</v>
      </c>
      <c r="G9" s="1311" t="str">
        <f>IF(Indice_index!$Z$1=1,"fev*","Feb*")</f>
        <v>fev*</v>
      </c>
      <c r="H9" s="1310" t="str">
        <f>IF(Indice_index!$Z$1=1,"mar*","Mar*")</f>
        <v>mar*</v>
      </c>
      <c r="I9" s="1311" t="str">
        <f>IF(Indice_index!$Z$1=1,"abr*","Apr*")</f>
        <v>abr*</v>
      </c>
      <c r="J9" s="1311" t="str">
        <f>IF(Indice_index!$Z$1=1,"mai*","May*")</f>
        <v>mai*</v>
      </c>
      <c r="K9" s="1310" t="str">
        <f>IF(Indice_index!$Z$1=1,"jun*","Jun*")</f>
        <v>jun*</v>
      </c>
      <c r="L9" s="1310" t="str">
        <f>IF(Indice_index!$Z$1=1,"jul*","Jul*")</f>
        <v>jul*</v>
      </c>
      <c r="M9" s="1312" t="str">
        <f>IF(Indice_index!$Z$1=1,"ago*","Aug*")</f>
        <v>ago*</v>
      </c>
      <c r="N9" s="1312" t="str">
        <f>IF(Indice_index!$Z$1=1,"set*","Sep*")</f>
        <v>set*</v>
      </c>
      <c r="O9" s="1313" t="str">
        <f>IF(Indice_index!$Z$1=1,"out*","Oct*")</f>
        <v>out*</v>
      </c>
      <c r="P9" s="1313" t="str">
        <f>IF(Indice_index!$Z$1=1,"nov*","Nov*")</f>
        <v>nov*</v>
      </c>
      <c r="Q9" s="1310" t="str">
        <f>IF(Indice_index!$Z$1=1,"dez*","Dec*")</f>
        <v>dez*</v>
      </c>
      <c r="R9" s="1777"/>
      <c r="S9" s="111"/>
      <c r="AA9" s="18"/>
      <c r="AB9" s="18"/>
      <c r="AC9" s="18"/>
    </row>
    <row r="10" spans="1:36" s="168" customFormat="1" ht="15" customHeight="1">
      <c r="B10" s="111"/>
      <c r="C10" s="1782" t="str">
        <f>IF(Indice_index!$Z$1=1,"AC","CG")</f>
        <v>AC</v>
      </c>
      <c r="D10" s="1314" t="str">
        <f>IF(Indice_index!$Z$1=1,"Aquisição de Bens e Serviços","Goods and Services Acquisition")</f>
        <v>Aquisição de Bens e Serviços</v>
      </c>
      <c r="E10" s="1316">
        <v>241.47870801999986</v>
      </c>
      <c r="F10" s="1315">
        <v>356.13126904999967</v>
      </c>
      <c r="G10" s="1315">
        <v>319.70413650999978</v>
      </c>
      <c r="H10" s="1315">
        <v>376.82530436000002</v>
      </c>
      <c r="I10" s="1315">
        <v>370.64133442000013</v>
      </c>
      <c r="J10" s="1315">
        <v>395.67579400999995</v>
      </c>
      <c r="K10" s="1315">
        <v>356.2769544300001</v>
      </c>
      <c r="L10" s="1315">
        <v>343.98565667000031</v>
      </c>
      <c r="M10" s="1315">
        <v>368.89725168000007</v>
      </c>
      <c r="N10" s="1315">
        <v>414.22397548000032</v>
      </c>
      <c r="O10" s="1315">
        <v>418.57666877000003</v>
      </c>
      <c r="P10" s="1315">
        <v>439.43218141999967</v>
      </c>
      <c r="Q10" s="1316">
        <v>247.27562575999991</v>
      </c>
      <c r="R10" s="1317">
        <f>Q10-P10</f>
        <v>-192.15655565999975</v>
      </c>
      <c r="S10" s="111"/>
      <c r="T10" s="336"/>
      <c r="W10" s="337"/>
      <c r="AA10" s="18"/>
      <c r="AB10" s="18"/>
      <c r="AC10" s="18"/>
    </row>
    <row r="11" spans="1:36" s="168" customFormat="1" ht="15" customHeight="1">
      <c r="B11" s="111"/>
      <c r="C11" s="1783"/>
      <c r="D11" s="1314" t="str">
        <f>IF(Indice_index!$Z$1=1,"Aquisição Bens de Capital","Capital Goods Acquisition")</f>
        <v>Aquisição Bens de Capital</v>
      </c>
      <c r="E11" s="1319">
        <v>9.1747972700000027</v>
      </c>
      <c r="F11" s="1318">
        <v>8.8358061800000005</v>
      </c>
      <c r="G11" s="1318">
        <v>13.401199199999997</v>
      </c>
      <c r="H11" s="1318">
        <v>15.697491220000003</v>
      </c>
      <c r="I11" s="1318">
        <v>35.557092700000005</v>
      </c>
      <c r="J11" s="1318">
        <v>26.420110500000003</v>
      </c>
      <c r="K11" s="1318">
        <v>18.124037280000007</v>
      </c>
      <c r="L11" s="1318">
        <v>25.40209239</v>
      </c>
      <c r="M11" s="1318">
        <v>32.298413289999999</v>
      </c>
      <c r="N11" s="1318">
        <v>25.563527539999999</v>
      </c>
      <c r="O11" s="1318">
        <v>47.338828570000025</v>
      </c>
      <c r="P11" s="1318">
        <v>51.065910629999991</v>
      </c>
      <c r="Q11" s="1319">
        <v>8.4672788200000024</v>
      </c>
      <c r="R11" s="1320">
        <f>Q11-P11</f>
        <v>-42.598631809999986</v>
      </c>
      <c r="S11" s="451"/>
      <c r="T11" s="169"/>
      <c r="U11" s="169"/>
      <c r="W11" s="337"/>
      <c r="AA11" s="18"/>
      <c r="AB11" s="18"/>
      <c r="AC11" s="18"/>
    </row>
    <row r="12" spans="1:36" s="168" customFormat="1" ht="15" customHeight="1">
      <c r="B12" s="111"/>
      <c r="C12" s="1783"/>
      <c r="D12" s="1314" t="str">
        <f>IF(Indice_index!$Z$1=1,"Transferências para AP","Transfers inside GG")</f>
        <v>Transferências para AP</v>
      </c>
      <c r="E12" s="1319">
        <v>28.061637040000001</v>
      </c>
      <c r="F12" s="1318">
        <v>27.343643359999998</v>
      </c>
      <c r="G12" s="1318">
        <v>83.660342270000001</v>
      </c>
      <c r="H12" s="1318">
        <v>35.253705700000005</v>
      </c>
      <c r="I12" s="1318">
        <v>41.478623759999998</v>
      </c>
      <c r="J12" s="1318">
        <v>41.920345049999995</v>
      </c>
      <c r="K12" s="1318">
        <v>51.741150400000009</v>
      </c>
      <c r="L12" s="1318">
        <v>58.030122049999996</v>
      </c>
      <c r="M12" s="1318">
        <v>58.632723660000003</v>
      </c>
      <c r="N12" s="1318">
        <v>60.192730829999995</v>
      </c>
      <c r="O12" s="1318">
        <v>42.058109619999996</v>
      </c>
      <c r="P12" s="1318">
        <v>63.991887699999999</v>
      </c>
      <c r="Q12" s="1319">
        <v>26.511458340000001</v>
      </c>
      <c r="R12" s="1320">
        <f>Q12-P12</f>
        <v>-37.480429360000002</v>
      </c>
      <c r="S12" s="451"/>
      <c r="T12" s="169"/>
      <c r="U12" s="169"/>
      <c r="W12" s="337"/>
      <c r="AA12" s="18"/>
      <c r="AB12" s="18"/>
      <c r="AC12" s="18"/>
    </row>
    <row r="13" spans="1:36" s="168" customFormat="1" ht="15" customHeight="1">
      <c r="B13" s="111"/>
      <c r="C13" s="1783"/>
      <c r="D13" s="1314" t="str">
        <f>IF(Indice_index!$Z$1=1,"Transferências para fora das AP","Transfers outside GG")</f>
        <v>Transferências para fora das AP</v>
      </c>
      <c r="E13" s="1319">
        <v>8.96728594</v>
      </c>
      <c r="F13" s="1318">
        <v>5.6498732499999997</v>
      </c>
      <c r="G13" s="1318">
        <v>4.5090320999999998</v>
      </c>
      <c r="H13" s="1318">
        <v>8.1821649700000023</v>
      </c>
      <c r="I13" s="1318">
        <v>11.02926209</v>
      </c>
      <c r="J13" s="1318">
        <v>6.9841468700000009</v>
      </c>
      <c r="K13" s="1318">
        <v>6.8002172000000005</v>
      </c>
      <c r="L13" s="1318">
        <v>30.526591290000002</v>
      </c>
      <c r="M13" s="1318">
        <v>42.737193810000001</v>
      </c>
      <c r="N13" s="1318">
        <v>45.662171580000006</v>
      </c>
      <c r="O13" s="1318">
        <v>34.377025480000007</v>
      </c>
      <c r="P13" s="1318">
        <v>26.687975480000006</v>
      </c>
      <c r="Q13" s="1319">
        <v>5.9035298899999997</v>
      </c>
      <c r="R13" s="1320">
        <f>Q13-P13</f>
        <v>-20.784445590000004</v>
      </c>
      <c r="S13" s="451"/>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84"/>
      <c r="D14" s="1314" t="str">
        <f>IF(Indice_index!$Z$1=1,"Outras","Others")</f>
        <v>Outras</v>
      </c>
      <c r="E14" s="1319">
        <v>71.634125449999999</v>
      </c>
      <c r="F14" s="1318">
        <v>115.21571654999988</v>
      </c>
      <c r="G14" s="1318">
        <v>127.49330108999993</v>
      </c>
      <c r="H14" s="1318">
        <v>129.75091422999989</v>
      </c>
      <c r="I14" s="1318">
        <v>133.41362350999984</v>
      </c>
      <c r="J14" s="1318">
        <v>154.39001162000002</v>
      </c>
      <c r="K14" s="1318">
        <v>164.1855174800001</v>
      </c>
      <c r="L14" s="1321">
        <v>194.95275575999997</v>
      </c>
      <c r="M14" s="1318">
        <v>205.31733620000003</v>
      </c>
      <c r="N14" s="1321">
        <v>130.92299570000006</v>
      </c>
      <c r="O14" s="1318">
        <v>119.72615254999999</v>
      </c>
      <c r="P14" s="1318">
        <v>153.25996472999984</v>
      </c>
      <c r="Q14" s="1319">
        <v>109.87838542999999</v>
      </c>
      <c r="R14" s="1320">
        <f t="shared" ref="R14:R26" si="0">Q14-P14</f>
        <v>-43.381579299999842</v>
      </c>
      <c r="S14" s="451"/>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85" t="str">
        <f>IF(Indice_index!$Z$1=1,"Total da Administração Central","Central Government - Total")</f>
        <v>Total da Administração Central</v>
      </c>
      <c r="D15" s="1785"/>
      <c r="E15" s="1323">
        <v>359.31655372</v>
      </c>
      <c r="F15" s="1322">
        <v>513.17630838999958</v>
      </c>
      <c r="G15" s="1322">
        <v>548.76801116999968</v>
      </c>
      <c r="H15" s="1322">
        <v>565.70958048</v>
      </c>
      <c r="I15" s="1322">
        <v>592.11993647999998</v>
      </c>
      <c r="J15" s="1322">
        <v>625.39040805000002</v>
      </c>
      <c r="K15" s="1322">
        <v>597.1278767900003</v>
      </c>
      <c r="L15" s="1322">
        <v>652.89721816000031</v>
      </c>
      <c r="M15" s="1322">
        <v>707.88291864000007</v>
      </c>
      <c r="N15" s="1322">
        <v>676.56540113000028</v>
      </c>
      <c r="O15" s="1322">
        <v>662.07678499000008</v>
      </c>
      <c r="P15" s="1322">
        <v>734.43791995999948</v>
      </c>
      <c r="Q15" s="1322">
        <v>398.03627823999989</v>
      </c>
      <c r="R15" s="1324">
        <f>Q15-P15</f>
        <v>-336.40164171999959</v>
      </c>
      <c r="S15" s="451"/>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82" t="str">
        <f>IF(Indice_index!$Z$1=1,"AR","RG")</f>
        <v>AR</v>
      </c>
      <c r="D16" s="1314" t="str">
        <f>IF(Indice_index!$Z$1=1,"Aquisição de Bens e Serviços","Goods and Services Acquisition")</f>
        <v>Aquisição de Bens e Serviços</v>
      </c>
      <c r="E16" s="1319">
        <v>33.975314739999988</v>
      </c>
      <c r="F16" s="1318">
        <v>70.18123645</v>
      </c>
      <c r="G16" s="1318">
        <v>50.578692529999998</v>
      </c>
      <c r="H16" s="1318">
        <v>66.384027709999998</v>
      </c>
      <c r="I16" s="1318">
        <v>51.478083580000003</v>
      </c>
      <c r="J16" s="1318">
        <v>52.45455604</v>
      </c>
      <c r="K16" s="1318">
        <v>58.079234879999987</v>
      </c>
      <c r="L16" s="1315">
        <v>83.629821599999985</v>
      </c>
      <c r="M16" s="1318">
        <v>49.215650769999996</v>
      </c>
      <c r="N16" s="1318">
        <v>69.065606039999977</v>
      </c>
      <c r="O16" s="1318">
        <v>66.612099400000005</v>
      </c>
      <c r="P16" s="1318">
        <v>61.696888659999992</v>
      </c>
      <c r="Q16" s="1319">
        <v>62.483801760000006</v>
      </c>
      <c r="R16" s="1320">
        <f t="shared" si="0"/>
        <v>0.7869131000000138</v>
      </c>
      <c r="S16" s="451"/>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83"/>
      <c r="D17" s="1314" t="str">
        <f>IF(Indice_index!$Z$1=1,"Aquisição Bens de Capital","Capital Goods Acquisition")</f>
        <v>Aquisição Bens de Capital</v>
      </c>
      <c r="E17" s="1319">
        <v>16.996417340000001</v>
      </c>
      <c r="F17" s="1318">
        <v>17.249250880000002</v>
      </c>
      <c r="G17" s="1318">
        <v>21.703355250000001</v>
      </c>
      <c r="H17" s="1318">
        <v>23.864555509999999</v>
      </c>
      <c r="I17" s="1318">
        <v>26.065782939999998</v>
      </c>
      <c r="J17" s="1318">
        <v>25.968964500000002</v>
      </c>
      <c r="K17" s="1318">
        <v>32.346858690000005</v>
      </c>
      <c r="L17" s="1318">
        <v>26.63956065</v>
      </c>
      <c r="M17" s="1318">
        <v>27.165790179999998</v>
      </c>
      <c r="N17" s="1318">
        <v>22.607583149999996</v>
      </c>
      <c r="O17" s="1318">
        <v>30.336373269999996</v>
      </c>
      <c r="P17" s="1318">
        <v>22.613364079999997</v>
      </c>
      <c r="Q17" s="1319">
        <v>29.728253979999998</v>
      </c>
      <c r="R17" s="1320">
        <f t="shared" si="0"/>
        <v>7.1148899000000014</v>
      </c>
      <c r="S17" s="451"/>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83"/>
      <c r="D18" s="1314" t="str">
        <f>IF(Indice_index!$Z$1=1,"Transferências para AP","Transfers inside GG")</f>
        <v>Transferências para AP</v>
      </c>
      <c r="E18" s="1319">
        <v>1.2026565500000002</v>
      </c>
      <c r="F18" s="1318">
        <v>1.3422235199999999</v>
      </c>
      <c r="G18" s="1318">
        <v>10.295728699999998</v>
      </c>
      <c r="H18" s="1318">
        <v>10.074563479999998</v>
      </c>
      <c r="I18" s="1318">
        <v>5.4178420800000007</v>
      </c>
      <c r="J18" s="1318">
        <v>9.4951207800000006</v>
      </c>
      <c r="K18" s="1318">
        <v>7.2585423699999998</v>
      </c>
      <c r="L18" s="1318">
        <v>7.5482161300000001</v>
      </c>
      <c r="M18" s="1318">
        <v>3.7159133899999999</v>
      </c>
      <c r="N18" s="1318">
        <v>3.9452116900000003</v>
      </c>
      <c r="O18" s="1318">
        <v>1.7528206900000001</v>
      </c>
      <c r="P18" s="1318">
        <v>23.230882139999999</v>
      </c>
      <c r="Q18" s="1319">
        <v>37.335565639999999</v>
      </c>
      <c r="R18" s="1320">
        <f t="shared" si="0"/>
        <v>14.1046835</v>
      </c>
      <c r="S18" s="451"/>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83"/>
      <c r="D19" s="1314" t="str">
        <f>IF(Indice_index!$Z$1=1,"Transferências para fora das AP","Transfers outside GG")</f>
        <v>Transferências para fora das AP</v>
      </c>
      <c r="E19" s="1319">
        <v>26.773861609999997</v>
      </c>
      <c r="F19" s="1318">
        <v>30.441558680000004</v>
      </c>
      <c r="G19" s="1318">
        <v>29.211331540000003</v>
      </c>
      <c r="H19" s="1318">
        <v>30.801726379999003</v>
      </c>
      <c r="I19" s="1318">
        <v>25.891823199999997</v>
      </c>
      <c r="J19" s="1318">
        <v>33.591417609998402</v>
      </c>
      <c r="K19" s="1318">
        <v>33.090923969998805</v>
      </c>
      <c r="L19" s="1318">
        <v>29.763867869999398</v>
      </c>
      <c r="M19" s="1318">
        <v>27.9819456199996</v>
      </c>
      <c r="N19" s="1318">
        <v>26.886157159999698</v>
      </c>
      <c r="O19" s="1318">
        <v>27.032610529999499</v>
      </c>
      <c r="P19" s="1318">
        <v>24.0379294499987</v>
      </c>
      <c r="Q19" s="1319">
        <v>20.206897532000003</v>
      </c>
      <c r="R19" s="1320">
        <f t="shared" si="0"/>
        <v>-3.8310319179986969</v>
      </c>
      <c r="S19" s="451"/>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84"/>
      <c r="D20" s="1314" t="str">
        <f>IF(Indice_index!$Z$1=1,"Outras","Others")</f>
        <v>Outras</v>
      </c>
      <c r="E20" s="1319">
        <v>5.2648817200000071</v>
      </c>
      <c r="F20" s="1318">
        <v>16.167530890000009</v>
      </c>
      <c r="G20" s="1318">
        <v>14.933554150000003</v>
      </c>
      <c r="H20" s="1318">
        <v>17.058318580000041</v>
      </c>
      <c r="I20" s="1318">
        <v>28.182068220000019</v>
      </c>
      <c r="J20" s="1318">
        <v>26.928279370000052</v>
      </c>
      <c r="K20" s="1318">
        <v>55.16933196999998</v>
      </c>
      <c r="L20" s="1318">
        <v>20.869419069999985</v>
      </c>
      <c r="M20" s="1318">
        <v>17.579018299999994</v>
      </c>
      <c r="N20" s="1321">
        <v>17.181320279999994</v>
      </c>
      <c r="O20" s="1318">
        <v>31.96097807000001</v>
      </c>
      <c r="P20" s="1318">
        <v>38.625965219999919</v>
      </c>
      <c r="Q20" s="1319">
        <v>9.4615304899999977</v>
      </c>
      <c r="R20" s="1320">
        <f t="shared" si="0"/>
        <v>-29.164434729999922</v>
      </c>
      <c r="S20" s="451"/>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85" t="str">
        <f>IF(Indice_index!$Z$1=1,"Total da Administração Regional","Regional Government - Total")</f>
        <v>Total da Administração Regional</v>
      </c>
      <c r="D21" s="1785"/>
      <c r="E21" s="1323">
        <v>84.213131959999998</v>
      </c>
      <c r="F21" s="1322">
        <v>135.38180042000002</v>
      </c>
      <c r="G21" s="1322">
        <v>126.72266217000001</v>
      </c>
      <c r="H21" s="1322">
        <v>148.18319165999904</v>
      </c>
      <c r="I21" s="1322">
        <v>137.03560002</v>
      </c>
      <c r="J21" s="1322">
        <v>148.43833829999846</v>
      </c>
      <c r="K21" s="1322">
        <v>185.94489187999878</v>
      </c>
      <c r="L21" s="1322">
        <v>168.45088531999937</v>
      </c>
      <c r="M21" s="1322">
        <v>125.65831825999959</v>
      </c>
      <c r="N21" s="1322">
        <v>139.68587831999966</v>
      </c>
      <c r="O21" s="1322">
        <v>157.69488195999952</v>
      </c>
      <c r="P21" s="1322">
        <v>170.20502954999861</v>
      </c>
      <c r="Q21" s="1322">
        <v>159.21604940200001</v>
      </c>
      <c r="R21" s="1324">
        <f>Q21-P21</f>
        <v>-10.988980147998603</v>
      </c>
      <c r="S21" s="451"/>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82" t="str">
        <f>IF(Indice_index!$Z$1=1,"AL","LG")</f>
        <v>AL</v>
      </c>
      <c r="D22" s="1314" t="str">
        <f>IF(Indice_index!$Z$1=1,"Aquisição de Bens e Serviços","Goods and Services Acquisition")</f>
        <v>Aquisição de Bens e Serviços</v>
      </c>
      <c r="E22" s="1326">
        <v>388.10950063000001</v>
      </c>
      <c r="F22" s="1325">
        <v>388.10950063000001</v>
      </c>
      <c r="G22" s="1325">
        <v>388.10950063000001</v>
      </c>
      <c r="H22" s="1325">
        <v>388.10950063000001</v>
      </c>
      <c r="I22" s="1325">
        <v>388.10950063000001</v>
      </c>
      <c r="J22" s="1325">
        <v>388.10950063000001</v>
      </c>
      <c r="K22" s="1325">
        <v>388.10950063000001</v>
      </c>
      <c r="L22" s="1325">
        <v>388.10950063000001</v>
      </c>
      <c r="M22" s="1325">
        <v>388.10950063000001</v>
      </c>
      <c r="N22" s="1327">
        <v>388.10950063000001</v>
      </c>
      <c r="O22" s="1325">
        <v>388.10950063000001</v>
      </c>
      <c r="P22" s="1325">
        <v>388.10950063000001</v>
      </c>
      <c r="Q22" s="1326">
        <v>388.10950063000001</v>
      </c>
      <c r="R22" s="1320">
        <f t="shared" si="0"/>
        <v>0</v>
      </c>
      <c r="S22" s="451"/>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83"/>
      <c r="D23" s="1314" t="str">
        <f>IF(Indice_index!$Z$1=1,"Aquisição Bens de Capital","Capital Goods Acquisition")</f>
        <v>Aquisição Bens de Capital</v>
      </c>
      <c r="E23" s="1326">
        <v>168.30329104</v>
      </c>
      <c r="F23" s="1325">
        <v>168.30329104</v>
      </c>
      <c r="G23" s="1325">
        <v>168.30329104</v>
      </c>
      <c r="H23" s="1325">
        <v>168.30329104</v>
      </c>
      <c r="I23" s="1325">
        <v>168.30329104</v>
      </c>
      <c r="J23" s="1325">
        <v>168.30329104</v>
      </c>
      <c r="K23" s="1325">
        <v>168.30329104</v>
      </c>
      <c r="L23" s="1325">
        <v>168.30329104</v>
      </c>
      <c r="M23" s="1325">
        <v>168.30329104</v>
      </c>
      <c r="N23" s="1325">
        <v>168.30329104</v>
      </c>
      <c r="O23" s="1325">
        <v>168.30329104</v>
      </c>
      <c r="P23" s="1325">
        <v>168.30329104</v>
      </c>
      <c r="Q23" s="1326">
        <v>168.30329104</v>
      </c>
      <c r="R23" s="1320">
        <f t="shared" si="0"/>
        <v>0</v>
      </c>
      <c r="S23" s="451"/>
      <c r="T23" s="169"/>
      <c r="AA23" s="18"/>
      <c r="AB23" s="18"/>
      <c r="AC23" s="18"/>
    </row>
    <row r="24" spans="2:36" s="168" customFormat="1" ht="15" customHeight="1">
      <c r="B24" s="111"/>
      <c r="C24" s="1783"/>
      <c r="D24" s="1314" t="str">
        <f>IF(Indice_index!$Z$1=1,"Transferências para AP","Transfers inside GG")</f>
        <v>Transferências para AP</v>
      </c>
      <c r="E24" s="1326">
        <v>16.80015461</v>
      </c>
      <c r="F24" s="1325">
        <v>16.80015461</v>
      </c>
      <c r="G24" s="1325">
        <v>16.80015461</v>
      </c>
      <c r="H24" s="1325">
        <v>16.80015461</v>
      </c>
      <c r="I24" s="1325">
        <v>16.80015461</v>
      </c>
      <c r="J24" s="1325">
        <v>16.80015461</v>
      </c>
      <c r="K24" s="1325">
        <v>16.80015461</v>
      </c>
      <c r="L24" s="1325">
        <v>16.80015461</v>
      </c>
      <c r="M24" s="1325">
        <v>16.80015461</v>
      </c>
      <c r="N24" s="1325">
        <v>16.80015461</v>
      </c>
      <c r="O24" s="1325">
        <v>16.80015461</v>
      </c>
      <c r="P24" s="1325">
        <v>16.80015461</v>
      </c>
      <c r="Q24" s="1326">
        <v>16.80015461</v>
      </c>
      <c r="R24" s="1320">
        <f>Q24-P24</f>
        <v>0</v>
      </c>
      <c r="S24" s="451"/>
      <c r="T24" s="169"/>
      <c r="AA24" s="18"/>
      <c r="AB24" s="18"/>
      <c r="AC24" s="18"/>
    </row>
    <row r="25" spans="2:36" s="168" customFormat="1" ht="15" customHeight="1">
      <c r="B25" s="111"/>
      <c r="C25" s="1783"/>
      <c r="D25" s="1314" t="str">
        <f>IF(Indice_index!$Z$1=1,"Transferências para fora das AP","Transfers outside GG")</f>
        <v>Transferências para fora das AP</v>
      </c>
      <c r="E25" s="1326">
        <v>20.146202590000001</v>
      </c>
      <c r="F25" s="1325">
        <v>20.146202590000001</v>
      </c>
      <c r="G25" s="1325">
        <v>20.146202590000001</v>
      </c>
      <c r="H25" s="1325">
        <v>20.146202590000001</v>
      </c>
      <c r="I25" s="1325">
        <v>20.146202590000001</v>
      </c>
      <c r="J25" s="1325">
        <v>20.146202590000001</v>
      </c>
      <c r="K25" s="1325">
        <v>20.146202590000001</v>
      </c>
      <c r="L25" s="1325">
        <v>20.146202590000001</v>
      </c>
      <c r="M25" s="1325">
        <v>20.146202590000001</v>
      </c>
      <c r="N25" s="1325">
        <v>20.146202590000001</v>
      </c>
      <c r="O25" s="1325">
        <v>20.146202590000001</v>
      </c>
      <c r="P25" s="1325">
        <v>20.146202590000001</v>
      </c>
      <c r="Q25" s="1326">
        <v>20.146202590000001</v>
      </c>
      <c r="R25" s="1320">
        <f t="shared" si="0"/>
        <v>0</v>
      </c>
      <c r="S25" s="451"/>
      <c r="T25" s="169"/>
      <c r="U25" s="169"/>
      <c r="AA25" s="18"/>
      <c r="AB25" s="18"/>
      <c r="AC25" s="18"/>
    </row>
    <row r="26" spans="2:36" s="168" customFormat="1" ht="15" customHeight="1">
      <c r="B26" s="111"/>
      <c r="C26" s="1784"/>
      <c r="D26" s="1314" t="str">
        <f>IF(Indice_index!$Z$1=1,"Outras","Others")</f>
        <v>Outras</v>
      </c>
      <c r="E26" s="1328">
        <v>309.55365148999999</v>
      </c>
      <c r="F26" s="1329">
        <v>309.55365148999999</v>
      </c>
      <c r="G26" s="1325">
        <v>309.55365148999999</v>
      </c>
      <c r="H26" s="1329">
        <v>309.55365148999999</v>
      </c>
      <c r="I26" s="1329">
        <v>309.55365148999999</v>
      </c>
      <c r="J26" s="1325">
        <v>309.55365148999999</v>
      </c>
      <c r="K26" s="1329">
        <v>309.55365148999999</v>
      </c>
      <c r="L26" s="1329">
        <v>309.55365148999999</v>
      </c>
      <c r="M26" s="1329">
        <v>309.55365148999999</v>
      </c>
      <c r="N26" s="1329">
        <v>309.55365148999999</v>
      </c>
      <c r="O26" s="1325">
        <v>309.55365148999999</v>
      </c>
      <c r="P26" s="1325">
        <v>309.55365148999999</v>
      </c>
      <c r="Q26" s="1326">
        <v>309.55365148999999</v>
      </c>
      <c r="R26" s="1320">
        <f t="shared" si="0"/>
        <v>0</v>
      </c>
      <c r="S26" s="451"/>
      <c r="T26" s="169"/>
      <c r="U26" s="169"/>
      <c r="AA26" s="18"/>
      <c r="AB26" s="18"/>
      <c r="AC26" s="18"/>
    </row>
    <row r="27" spans="2:36" s="315" customFormat="1" ht="15" customHeight="1">
      <c r="B27" s="313"/>
      <c r="C27" s="1785" t="str">
        <f>IF(Indice_index!$Z$1=1,"Total da Administração Local","Local Government - Total")</f>
        <v>Total da Administração Local</v>
      </c>
      <c r="D27" s="1785"/>
      <c r="E27" s="1323">
        <v>902.91280036000012</v>
      </c>
      <c r="F27" s="1322">
        <v>902.91280036000012</v>
      </c>
      <c r="G27" s="1322">
        <v>902.91280036000012</v>
      </c>
      <c r="H27" s="1322">
        <v>902.91280036000012</v>
      </c>
      <c r="I27" s="1322">
        <v>902.91280036000012</v>
      </c>
      <c r="J27" s="1322">
        <v>902.91280036000012</v>
      </c>
      <c r="K27" s="1322">
        <v>902.91280036000012</v>
      </c>
      <c r="L27" s="1322">
        <v>902.91280036000012</v>
      </c>
      <c r="M27" s="1322">
        <v>902.91280036000012</v>
      </c>
      <c r="N27" s="1322">
        <v>902.91280036000012</v>
      </c>
      <c r="O27" s="1322">
        <v>902.91280036000012</v>
      </c>
      <c r="P27" s="1322">
        <v>902.91280036000012</v>
      </c>
      <c r="Q27" s="1322">
        <v>902.91280036000012</v>
      </c>
      <c r="R27" s="1324">
        <f>Q27-P27</f>
        <v>0</v>
      </c>
      <c r="S27" s="451"/>
      <c r="T27" s="316"/>
      <c r="U27" s="316"/>
      <c r="AA27" s="249"/>
      <c r="AB27" s="249"/>
      <c r="AC27" s="249"/>
    </row>
    <row r="28" spans="2:36" s="315" customFormat="1" ht="15" customHeight="1">
      <c r="B28" s="313"/>
      <c r="C28" s="1785" t="str">
        <f>IF(Indice_index!$Z$1=1,"Total das Administrações Públicas","General Government - Total")</f>
        <v>Total das Administrações Públicas</v>
      </c>
      <c r="D28" s="1785"/>
      <c r="E28" s="1323">
        <f>E27+E21+E15</f>
        <v>1346.4424860400002</v>
      </c>
      <c r="F28" s="1597">
        <f>F27+F21+F15</f>
        <v>1551.4709091699997</v>
      </c>
      <c r="G28" s="1322">
        <f>G27+G21+G15</f>
        <v>1578.4034736999997</v>
      </c>
      <c r="H28" s="1322">
        <f t="shared" ref="H28:P28" si="1">H27+H21+H15</f>
        <v>1616.805572499999</v>
      </c>
      <c r="I28" s="1322">
        <f t="shared" si="1"/>
        <v>1632.06833686</v>
      </c>
      <c r="J28" s="1322">
        <f t="shared" si="1"/>
        <v>1676.7415467099986</v>
      </c>
      <c r="K28" s="1322">
        <f t="shared" si="1"/>
        <v>1685.9855690299992</v>
      </c>
      <c r="L28" s="1322">
        <f t="shared" si="1"/>
        <v>1724.2609038399996</v>
      </c>
      <c r="M28" s="1322">
        <f t="shared" si="1"/>
        <v>1736.4540372599997</v>
      </c>
      <c r="N28" s="1322">
        <f t="shared" si="1"/>
        <v>1719.16407981</v>
      </c>
      <c r="O28" s="1322">
        <f t="shared" si="1"/>
        <v>1722.6844673099997</v>
      </c>
      <c r="P28" s="1322">
        <f t="shared" si="1"/>
        <v>1807.5557498699982</v>
      </c>
      <c r="Q28" s="1322">
        <f>Q27+Q21+Q15</f>
        <v>1460.1651280020001</v>
      </c>
      <c r="R28" s="1324">
        <f>Q28-P28</f>
        <v>-347.39062186799811</v>
      </c>
      <c r="S28" s="451"/>
      <c r="T28" s="316"/>
      <c r="U28" s="316"/>
      <c r="AA28" s="249"/>
      <c r="AB28" s="249"/>
      <c r="AC28" s="249"/>
    </row>
    <row r="29" spans="2:36" s="315" customFormat="1" ht="4.5" customHeight="1">
      <c r="B29" s="313"/>
      <c r="C29" s="1330"/>
      <c r="D29" s="1330"/>
      <c r="E29" s="1331"/>
      <c r="F29" s="1331"/>
      <c r="G29" s="1331"/>
      <c r="H29" s="1331"/>
      <c r="I29" s="1331"/>
      <c r="J29" s="1331"/>
      <c r="K29" s="1331"/>
      <c r="L29" s="1331"/>
      <c r="M29" s="1331"/>
      <c r="N29" s="1331"/>
      <c r="O29" s="1331"/>
      <c r="P29" s="1331"/>
      <c r="Q29" s="1331"/>
      <c r="R29" s="1331"/>
      <c r="S29" s="451"/>
      <c r="T29" s="316"/>
      <c r="U29" s="316"/>
      <c r="AA29" s="249"/>
      <c r="AB29" s="249"/>
      <c r="AC29" s="249"/>
    </row>
    <row r="30" spans="2:36" s="168" customFormat="1" ht="15" customHeight="1">
      <c r="B30" s="631"/>
      <c r="C30" s="1332"/>
      <c r="D30" s="1333" t="str">
        <f>IF(Indice_index!$Z$1=1,"Notas:","Notes:")</f>
        <v>Notas:</v>
      </c>
      <c r="E30" s="1334"/>
      <c r="F30" s="1334"/>
      <c r="G30" s="1334"/>
      <c r="H30" s="1334"/>
      <c r="I30" s="1334"/>
      <c r="J30" s="1334"/>
      <c r="K30" s="1334"/>
      <c r="L30" s="1334"/>
      <c r="M30" s="1334"/>
      <c r="N30" s="1334"/>
      <c r="O30" s="1334"/>
      <c r="P30" s="1334"/>
      <c r="Q30" s="1334"/>
      <c r="S30" s="450"/>
      <c r="T30" s="169"/>
      <c r="U30" s="169"/>
      <c r="V30" s="169"/>
      <c r="AB30" s="18"/>
      <c r="AC30" s="18"/>
      <c r="AD30" s="18"/>
    </row>
    <row r="31" spans="2:36" s="168" customFormat="1" ht="15" customHeight="1">
      <c r="B31" s="631"/>
      <c r="C31" s="1332"/>
      <c r="D31" s="1335"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S31" s="450"/>
      <c r="T31" s="169"/>
      <c r="U31" s="169"/>
      <c r="V31" s="169"/>
      <c r="AB31" s="18"/>
      <c r="AC31" s="18"/>
      <c r="AD31" s="18"/>
    </row>
    <row r="32" spans="2:36" s="168" customFormat="1" ht="15" customHeight="1">
      <c r="B32" s="631"/>
      <c r="C32" s="1332"/>
      <c r="D32" s="1336" t="str">
        <f>IF(Indice_index!$Z$1=1,"AL(*): Considerou-se o stock de dezembro 2019, para efeitos de análise.","LG(*): December 2019 stock was considered for analysis purposes was considered for the purpose of analysis.")</f>
        <v>AL(*): Considerou-se o stock de dezembro 2019, para efeitos de análise.</v>
      </c>
      <c r="S32" s="450"/>
      <c r="T32" s="169"/>
      <c r="U32" s="169"/>
      <c r="V32" s="169"/>
      <c r="AB32" s="18"/>
      <c r="AC32" s="18"/>
      <c r="AD32" s="18"/>
    </row>
    <row r="33" spans="2:30" s="168" customFormat="1" ht="15" customHeight="1">
      <c r="B33" s="631"/>
      <c r="C33" s="1332"/>
      <c r="D33" s="1335"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S33" s="450"/>
      <c r="T33" s="169"/>
      <c r="U33" s="169"/>
      <c r="V33" s="169"/>
      <c r="AB33" s="18"/>
      <c r="AC33" s="18"/>
      <c r="AD33" s="18"/>
    </row>
    <row r="34" spans="2:30" ht="15" customHeight="1">
      <c r="B34" s="96"/>
      <c r="D34" s="1598" t="str">
        <f>IF(Indice_index!$Z$1=1,"AC: Dados revistos em novembro 2022.","CG: Revised data on November 22")</f>
        <v>AC: Dados revistos em novembro 2022.</v>
      </c>
      <c r="E34" s="1598"/>
      <c r="F34" s="1598"/>
      <c r="G34" s="1598"/>
      <c r="H34" s="1598"/>
      <c r="I34" s="1598"/>
      <c r="J34" s="1598"/>
      <c r="K34" s="1598"/>
      <c r="L34" s="1598"/>
      <c r="M34" s="1598"/>
      <c r="N34" s="1598"/>
      <c r="O34" s="1598"/>
      <c r="P34" s="1598"/>
      <c r="Q34" s="1598"/>
      <c r="R34" s="1598"/>
      <c r="S34" s="111"/>
      <c r="T34" s="169"/>
      <c r="U34" s="169"/>
      <c r="V34" s="169"/>
      <c r="W34" s="168"/>
      <c r="X34" s="168"/>
      <c r="Y34" s="168"/>
      <c r="Z34" s="168"/>
      <c r="AA34" s="168"/>
      <c r="AB34" s="18"/>
      <c r="AC34" s="18"/>
    </row>
    <row r="35" spans="2:30">
      <c r="B35" s="96"/>
      <c r="D35" s="1337"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S35" s="111"/>
      <c r="T35" s="169"/>
      <c r="U35" s="169"/>
      <c r="V35" s="169"/>
      <c r="W35" s="168"/>
      <c r="X35" s="168"/>
      <c r="Y35" s="168"/>
      <c r="Z35" s="168"/>
      <c r="AA35" s="168"/>
      <c r="AB35" s="18"/>
      <c r="AC35" s="18"/>
    </row>
    <row r="36" spans="2:30" ht="15" customHeight="1">
      <c r="B36" s="96"/>
      <c r="D36" s="1335"/>
      <c r="S36" s="111"/>
      <c r="T36" s="1790"/>
      <c r="U36" s="1790"/>
      <c r="V36" s="1790"/>
      <c r="W36" s="1790"/>
      <c r="X36" s="1790"/>
      <c r="Y36" s="1790"/>
      <c r="Z36" s="1790"/>
      <c r="AA36" s="1790"/>
      <c r="AB36" s="1790"/>
      <c r="AC36" s="1790"/>
    </row>
    <row r="37" spans="2:30" ht="15" customHeight="1">
      <c r="B37" s="96"/>
      <c r="S37" s="111"/>
      <c r="T37" s="1790"/>
      <c r="U37" s="1790"/>
      <c r="V37" s="1790"/>
      <c r="W37" s="1790"/>
      <c r="X37" s="1790"/>
      <c r="Y37" s="1790"/>
      <c r="Z37" s="1790"/>
      <c r="AA37" s="1790"/>
      <c r="AB37" s="1790"/>
      <c r="AC37" s="1790"/>
    </row>
    <row r="38" spans="2:30" ht="15" customHeight="1">
      <c r="B38" s="96"/>
      <c r="D38" s="1337"/>
      <c r="S38" s="111"/>
      <c r="T38" s="1790"/>
      <c r="U38" s="1790"/>
      <c r="V38" s="1790"/>
      <c r="W38" s="1790"/>
      <c r="X38" s="1790"/>
      <c r="Y38" s="1790"/>
      <c r="Z38" s="1790"/>
      <c r="AA38" s="1790"/>
      <c r="AB38" s="1790"/>
      <c r="AC38" s="1790"/>
    </row>
    <row r="39" spans="2:30" s="251" customFormat="1" ht="15" customHeight="1">
      <c r="B39" s="250"/>
      <c r="D39" s="1338"/>
      <c r="E39" s="137"/>
      <c r="F39" s="137"/>
      <c r="G39" s="137"/>
      <c r="H39" s="137"/>
      <c r="I39" s="137"/>
      <c r="J39" s="137"/>
      <c r="K39" s="137"/>
      <c r="L39" s="137"/>
      <c r="M39" s="137"/>
      <c r="N39" s="137"/>
      <c r="O39" s="137"/>
      <c r="P39" s="137"/>
      <c r="Q39" s="137"/>
      <c r="R39" s="137"/>
      <c r="S39" s="452"/>
      <c r="U39" s="315"/>
      <c r="V39" s="315"/>
      <c r="W39" s="315"/>
      <c r="X39" s="315"/>
      <c r="Y39" s="315"/>
    </row>
    <row r="40" spans="2:30" s="241" customFormat="1" ht="15" customHeight="1">
      <c r="B40" s="632"/>
      <c r="D40" s="1306"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E40" s="251"/>
      <c r="F40" s="251"/>
      <c r="G40" s="251"/>
      <c r="H40" s="251"/>
      <c r="I40" s="251"/>
      <c r="J40" s="251"/>
      <c r="K40" s="251"/>
      <c r="L40" s="251"/>
      <c r="M40" s="251"/>
      <c r="N40" s="251"/>
      <c r="O40" s="251"/>
      <c r="P40" s="251"/>
      <c r="Q40" s="251"/>
      <c r="R40" s="251"/>
      <c r="S40" s="453"/>
      <c r="U40" s="338"/>
      <c r="V40" s="338"/>
      <c r="W40" s="338"/>
      <c r="X40" s="338"/>
      <c r="Y40" s="338"/>
    </row>
    <row r="41" spans="2:30" ht="15.75" customHeight="1">
      <c r="B41" s="96"/>
      <c r="D41" s="1339"/>
      <c r="E41" s="241"/>
      <c r="F41" s="241"/>
      <c r="G41" s="241"/>
      <c r="H41" s="241"/>
      <c r="I41" s="241"/>
      <c r="J41" s="241"/>
      <c r="K41" s="241"/>
      <c r="L41" s="241"/>
      <c r="M41" s="241"/>
      <c r="N41" s="241"/>
      <c r="O41" s="241"/>
      <c r="P41" s="241"/>
      <c r="Q41" s="241"/>
      <c r="R41" s="1309" t="str">
        <f>IF(Indice_index!$Z$1=1,"€ Milhões","€ Millions")</f>
        <v>€ Milhões</v>
      </c>
      <c r="S41" s="96"/>
      <c r="W41" s="168"/>
      <c r="AB41" s="137"/>
      <c r="AC41" s="137"/>
      <c r="AD41" s="137"/>
    </row>
    <row r="42" spans="2:30" ht="15" customHeight="1">
      <c r="B42" s="96"/>
      <c r="D42" s="1791" t="s">
        <v>9</v>
      </c>
      <c r="E42" s="1360">
        <v>2021</v>
      </c>
      <c r="F42" s="1786">
        <v>2022</v>
      </c>
      <c r="G42" s="1787"/>
      <c r="H42" s="1787"/>
      <c r="I42" s="1787"/>
      <c r="J42" s="1787"/>
      <c r="K42" s="1787"/>
      <c r="L42" s="1787"/>
      <c r="M42" s="1787"/>
      <c r="N42" s="1787"/>
      <c r="O42" s="1787"/>
      <c r="P42" s="1787"/>
      <c r="Q42" s="1788"/>
      <c r="R42" s="1793" t="str">
        <f>IF(Indice_index!$Z$1=1,"variação mensal","monthly variation")</f>
        <v>variação mensal</v>
      </c>
      <c r="S42" s="96"/>
      <c r="AB42" s="137"/>
      <c r="AC42" s="137"/>
      <c r="AD42" s="137"/>
    </row>
    <row r="43" spans="2:30" s="251" customFormat="1" ht="15" customHeight="1">
      <c r="B43" s="250"/>
      <c r="D43" s="1792"/>
      <c r="E43" s="1310" t="str">
        <f>IF(Indice_index!$Z$1=1,"dez*","Dec*")</f>
        <v>dez*</v>
      </c>
      <c r="F43" s="1310" t="str">
        <f>IF(Indice_index!$Z$1=1,"jan*","Jan*")</f>
        <v>jan*</v>
      </c>
      <c r="G43" s="1311" t="str">
        <f>IF(Indice_index!$Z$1=1,"fev*","Feb*")</f>
        <v>fev*</v>
      </c>
      <c r="H43" s="1310" t="str">
        <f>IF(Indice_index!$Z$1=1,"mar*","Mar*")</f>
        <v>mar*</v>
      </c>
      <c r="I43" s="1311" t="str">
        <f>IF(Indice_index!$Z$1=1,"abr*","Apr*")</f>
        <v>abr*</v>
      </c>
      <c r="J43" s="1311" t="str">
        <f>IF(Indice_index!$Z$1=1,"mai*","May*")</f>
        <v>mai*</v>
      </c>
      <c r="K43" s="1310" t="str">
        <f>IF(Indice_index!$Z$1=1,"jun*","Jun*")</f>
        <v>jun*</v>
      </c>
      <c r="L43" s="1310" t="str">
        <f>IF(Indice_index!$Z$1=1,"jul*","Jul*")</f>
        <v>jul*</v>
      </c>
      <c r="M43" s="1312" t="str">
        <f>IF(Indice_index!$Z$1=1,"ago*","Aug*")</f>
        <v>ago*</v>
      </c>
      <c r="N43" s="1312" t="str">
        <f>IF(Indice_index!$Z$1=1,"set*","Sep*")</f>
        <v>set*</v>
      </c>
      <c r="O43" s="1313" t="str">
        <f>IF(Indice_index!$Z$1=1,"out*","Oct*")</f>
        <v>out*</v>
      </c>
      <c r="P43" s="1313" t="str">
        <f>IF(Indice_index!$Z$1=1,"nov*","Nov*")</f>
        <v>nov*</v>
      </c>
      <c r="Q43" s="1310" t="str">
        <f>IF(Indice_index!$Z$1=1,"dez*","Dec*")</f>
        <v>dez*</v>
      </c>
      <c r="R43" s="1794"/>
      <c r="S43" s="558"/>
    </row>
    <row r="44" spans="2:30" ht="15" customHeight="1">
      <c r="B44" s="96"/>
      <c r="D44" s="1340" t="str">
        <f>IF(Indice_index!$Z$1=1,"Administrações Públicas","General Government")</f>
        <v>Administrações Públicas</v>
      </c>
      <c r="E44" s="1342">
        <f t="shared" ref="E44:M44" si="2">SUM(E45:E50)</f>
        <v>299.45953600000001</v>
      </c>
      <c r="F44" s="1343">
        <f t="shared" si="2"/>
        <v>414.17678900000004</v>
      </c>
      <c r="G44" s="1341">
        <f t="shared" si="2"/>
        <v>459.98346831000003</v>
      </c>
      <c r="H44" s="1341">
        <f t="shared" si="2"/>
        <v>511.61463229999993</v>
      </c>
      <c r="I44" s="1341">
        <f t="shared" si="2"/>
        <v>606.47858092000024</v>
      </c>
      <c r="J44" s="1341">
        <f t="shared" si="2"/>
        <v>703.89342706000014</v>
      </c>
      <c r="K44" s="1341">
        <f t="shared" si="2"/>
        <v>840.1888024299999</v>
      </c>
      <c r="L44" s="1341">
        <f t="shared" si="2"/>
        <v>924.88304081000024</v>
      </c>
      <c r="M44" s="1341">
        <f t="shared" si="2"/>
        <v>783.13967351999997</v>
      </c>
      <c r="N44" s="1341">
        <f>SUM(N45:N50)</f>
        <v>909.30333435</v>
      </c>
      <c r="O44" s="1341">
        <f>SUM(O45:O50)</f>
        <v>983.86284538999996</v>
      </c>
      <c r="P44" s="1341">
        <f t="shared" ref="P44:Q44" si="3">SUM(P45:P50)</f>
        <v>1173.49353316</v>
      </c>
      <c r="Q44" s="1344">
        <f t="shared" si="3"/>
        <v>262.69970278</v>
      </c>
      <c r="R44" s="1345">
        <f t="shared" ref="R44:R51" si="4">Q44-P44</f>
        <v>-910.79383037999992</v>
      </c>
      <c r="S44" s="558"/>
      <c r="AB44" s="137"/>
      <c r="AC44" s="137"/>
      <c r="AD44" s="137"/>
    </row>
    <row r="45" spans="2:30" ht="15" customHeight="1">
      <c r="B45" s="96"/>
      <c r="D45" s="1346" t="str">
        <f>IF(Indice_index!$Z$1=1,"Admin. Central excl. Subs. Saúde","Central Government excl. Health Subsector")</f>
        <v>Admin. Central excl. Subs. Saúde</v>
      </c>
      <c r="E45" s="1650">
        <v>28.38489285</v>
      </c>
      <c r="F45" s="1651">
        <v>28.561460530000002</v>
      </c>
      <c r="G45" s="1652">
        <v>29.94680211</v>
      </c>
      <c r="H45" s="1652">
        <v>32.38113551</v>
      </c>
      <c r="I45" s="1652">
        <v>34.539867620000003</v>
      </c>
      <c r="J45" s="1652">
        <v>40.794076220000001</v>
      </c>
      <c r="K45" s="1652">
        <v>42.208514370000003</v>
      </c>
      <c r="L45" s="1652">
        <v>43.652452489999995</v>
      </c>
      <c r="M45" s="1652">
        <v>45.311133529999999</v>
      </c>
      <c r="N45" s="1652">
        <v>96.375580880000001</v>
      </c>
      <c r="O45" s="1652">
        <v>97.764037810000005</v>
      </c>
      <c r="P45" s="1652">
        <v>83.80296783</v>
      </c>
      <c r="Q45" s="1650">
        <v>41.651904420000001</v>
      </c>
      <c r="R45" s="1347">
        <f t="shared" si="4"/>
        <v>-42.151063409999999</v>
      </c>
      <c r="S45" s="558"/>
      <c r="AB45" s="137"/>
      <c r="AC45" s="137"/>
      <c r="AD45" s="137"/>
    </row>
    <row r="46" spans="2:30" ht="15" customHeight="1">
      <c r="B46" s="96"/>
      <c r="D46" s="1346" t="str">
        <f>IF(Indice_index!$Z$1=1,"Subsector da Saúde","Health Subsector")</f>
        <v>Subsector da Saúde</v>
      </c>
      <c r="E46" s="1650">
        <v>2.7758071000000006</v>
      </c>
      <c r="F46" s="1651">
        <v>5.6885438100000032</v>
      </c>
      <c r="G46" s="1652">
        <v>4.34703807</v>
      </c>
      <c r="H46" s="1652">
        <v>5.1372461500000002</v>
      </c>
      <c r="I46" s="1652">
        <v>4.0887002799999985</v>
      </c>
      <c r="J46" s="1652">
        <v>5.1863336100000037</v>
      </c>
      <c r="K46" s="1652">
        <v>4.8387099700000071</v>
      </c>
      <c r="L46" s="1652">
        <v>5.7911996400000012</v>
      </c>
      <c r="M46" s="1652">
        <v>4.7460636599999955</v>
      </c>
      <c r="N46" s="1652">
        <v>4.6405532199999877</v>
      </c>
      <c r="O46" s="1652">
        <v>2.5627289400000173</v>
      </c>
      <c r="P46" s="1652">
        <v>3.3545743600000026</v>
      </c>
      <c r="Q46" s="1653">
        <v>1.279003549999997</v>
      </c>
      <c r="R46" s="1347">
        <f t="shared" si="4"/>
        <v>-2.0755708100000057</v>
      </c>
      <c r="S46" s="558"/>
      <c r="AB46" s="137"/>
      <c r="AC46" s="137"/>
      <c r="AD46" s="137"/>
    </row>
    <row r="47" spans="2:30" ht="15" customHeight="1">
      <c r="B47" s="96"/>
      <c r="D47" s="1346" t="str">
        <f>IF(Indice_index!$Z$1=1,"Hospitais EPE","HNS - EPE Hospitals")</f>
        <v>Hospitais EPE</v>
      </c>
      <c r="E47" s="1650">
        <v>107.16077557000001</v>
      </c>
      <c r="F47" s="1651">
        <v>210.44059844</v>
      </c>
      <c r="G47" s="1652">
        <v>253.03455969999999</v>
      </c>
      <c r="H47" s="1652">
        <v>303.91595169999994</v>
      </c>
      <c r="I47" s="1652">
        <v>390.4383427599999</v>
      </c>
      <c r="J47" s="1652">
        <v>469.09213459000006</v>
      </c>
      <c r="K47" s="1652">
        <v>606.73740510999994</v>
      </c>
      <c r="L47" s="1652">
        <v>687.73517439000022</v>
      </c>
      <c r="M47" s="1652">
        <v>542.72080005999999</v>
      </c>
      <c r="N47" s="1652">
        <v>613.28299371999992</v>
      </c>
      <c r="O47" s="1652">
        <v>690.75226739999994</v>
      </c>
      <c r="P47" s="1652">
        <v>871.13599467000006</v>
      </c>
      <c r="Q47" s="1653">
        <v>17.58651351</v>
      </c>
      <c r="R47" s="1347">
        <f t="shared" si="4"/>
        <v>-853.54948116000003</v>
      </c>
      <c r="S47" s="558"/>
      <c r="AB47" s="137"/>
      <c r="AC47" s="137"/>
      <c r="AD47" s="137"/>
    </row>
    <row r="48" spans="2:30" ht="15" customHeight="1">
      <c r="B48" s="96"/>
      <c r="D48" s="1346" t="str">
        <f>IF(Indice_index!$Z$1=1,"Empresas Públicas Reclassificadas","Reclassified Public Enterprises")</f>
        <v>Empresas Públicas Reclassificadas</v>
      </c>
      <c r="E48" s="1650">
        <v>12.762309</v>
      </c>
      <c r="F48" s="1651">
        <v>12.762309</v>
      </c>
      <c r="G48" s="1652">
        <v>12.762309</v>
      </c>
      <c r="H48" s="1652">
        <v>17.499139159999999</v>
      </c>
      <c r="I48" s="1652">
        <v>19.080875850000002</v>
      </c>
      <c r="J48" s="1652">
        <v>21.270207129999999</v>
      </c>
      <c r="K48" s="1652">
        <v>27.374355609999999</v>
      </c>
      <c r="L48" s="1652">
        <v>22.638993709999998</v>
      </c>
      <c r="M48" s="1652">
        <v>22.323646059999998</v>
      </c>
      <c r="N48" s="1652">
        <v>22.032093539999998</v>
      </c>
      <c r="O48" s="1652">
        <v>18.857420480000002</v>
      </c>
      <c r="P48" s="1652">
        <v>32.849803780000002</v>
      </c>
      <c r="Q48" s="1650">
        <v>18.303969779999999</v>
      </c>
      <c r="R48" s="1347">
        <f t="shared" si="4"/>
        <v>-14.545834000000003</v>
      </c>
      <c r="S48" s="558"/>
      <c r="AB48" s="137"/>
      <c r="AC48" s="137"/>
      <c r="AD48" s="137"/>
    </row>
    <row r="49" spans="2:30" ht="15" customHeight="1">
      <c r="B49" s="96"/>
      <c r="D49" s="1346" t="str">
        <f>IF(Indice_index!$Z$1=1,"Administração Local","Local Government")</f>
        <v>Administração Local</v>
      </c>
      <c r="E49" s="1654">
        <v>56.810747100000007</v>
      </c>
      <c r="F49" s="1655">
        <v>56.810747100000007</v>
      </c>
      <c r="G49" s="1656">
        <v>56.810747100000007</v>
      </c>
      <c r="H49" s="1656">
        <v>56.810747100000007</v>
      </c>
      <c r="I49" s="1656">
        <v>56.810747100000007</v>
      </c>
      <c r="J49" s="1656">
        <v>56.810747100000007</v>
      </c>
      <c r="K49" s="1656">
        <v>56.810747100000007</v>
      </c>
      <c r="L49" s="1656">
        <v>56.810747100000007</v>
      </c>
      <c r="M49" s="1656">
        <v>56.810747100000007</v>
      </c>
      <c r="N49" s="1656">
        <v>56.810747100000007</v>
      </c>
      <c r="O49" s="1656">
        <v>56.810747100000007</v>
      </c>
      <c r="P49" s="1656">
        <v>56.810747100000007</v>
      </c>
      <c r="Q49" s="1654">
        <v>56.810747100000007</v>
      </c>
      <c r="R49" s="1348">
        <f t="shared" si="4"/>
        <v>0</v>
      </c>
      <c r="S49" s="558"/>
      <c r="AB49" s="137"/>
      <c r="AC49" s="137"/>
      <c r="AD49" s="137"/>
    </row>
    <row r="50" spans="2:30" s="251" customFormat="1" ht="15" customHeight="1">
      <c r="B50" s="250"/>
      <c r="D50" s="1346" t="str">
        <f>IF(Indice_index!$Z$1=1,"Administração Regional","Regional Government")</f>
        <v>Administração Regional</v>
      </c>
      <c r="E50" s="1650">
        <v>91.565004379999991</v>
      </c>
      <c r="F50" s="1651">
        <v>99.913130120000005</v>
      </c>
      <c r="G50" s="1652">
        <v>103.08201233000001</v>
      </c>
      <c r="H50" s="1652">
        <v>95.870412680000044</v>
      </c>
      <c r="I50" s="1652">
        <v>101.52004731000035</v>
      </c>
      <c r="J50" s="1652">
        <v>110.73992841000005</v>
      </c>
      <c r="K50" s="1652">
        <v>102.21907027000003</v>
      </c>
      <c r="L50" s="1652">
        <v>108.25447348000002</v>
      </c>
      <c r="M50" s="1652">
        <v>111.22728311</v>
      </c>
      <c r="N50" s="1652">
        <v>116.16136589000003</v>
      </c>
      <c r="O50" s="1652">
        <v>117.11564366000005</v>
      </c>
      <c r="P50" s="1652">
        <v>125.53944542000004</v>
      </c>
      <c r="Q50" s="1650">
        <v>127.06756442000001</v>
      </c>
      <c r="R50" s="1348">
        <f t="shared" si="4"/>
        <v>1.5281189999999754</v>
      </c>
      <c r="S50" s="558"/>
    </row>
    <row r="51" spans="2:30" ht="15" customHeight="1">
      <c r="B51" s="96"/>
      <c r="D51" s="1349" t="str">
        <f>IF(Indice_index!$Z$1=1,"Outras Entidades","Other Entities")</f>
        <v>Outras Entidades</v>
      </c>
      <c r="E51" s="1657">
        <v>0.44664528999999997</v>
      </c>
      <c r="F51" s="1658">
        <v>0.44664528999999997</v>
      </c>
      <c r="G51" s="1659">
        <v>0.44664528999999997</v>
      </c>
      <c r="H51" s="1659">
        <v>0.44664528999999997</v>
      </c>
      <c r="I51" s="1659">
        <v>0.44664528999999997</v>
      </c>
      <c r="J51" s="1659">
        <v>0.44664528999999997</v>
      </c>
      <c r="K51" s="1659">
        <v>0.44664528999999997</v>
      </c>
      <c r="L51" s="1659">
        <v>0.44664528999999997</v>
      </c>
      <c r="M51" s="1659">
        <v>0.44664528999999997</v>
      </c>
      <c r="N51" s="1659">
        <v>0.44664528999999997</v>
      </c>
      <c r="O51" s="1659">
        <v>0.44664528999999997</v>
      </c>
      <c r="P51" s="1659">
        <v>0.44664528999999997</v>
      </c>
      <c r="Q51" s="1660">
        <v>0.44664528999999997</v>
      </c>
      <c r="R51" s="1350">
        <f t="shared" si="4"/>
        <v>0</v>
      </c>
      <c r="S51" s="558"/>
      <c r="AB51" s="137"/>
      <c r="AC51" s="137"/>
      <c r="AD51" s="137"/>
    </row>
    <row r="52" spans="2:30" s="251" customFormat="1" ht="15" customHeight="1">
      <c r="B52" s="250"/>
      <c r="D52" s="1346" t="str">
        <f>IF(Indice_index!$Z$1=1,"Empr. Públicas Não Reclassificadas","Non-reclassified Public Enterprises")</f>
        <v>Empr. Públicas Não Reclassificadas</v>
      </c>
      <c r="E52" s="1661">
        <v>0.44664528999999997</v>
      </c>
      <c r="F52" s="1662">
        <v>0.44664528999999997</v>
      </c>
      <c r="G52" s="1541">
        <v>0.44664528999999997</v>
      </c>
      <c r="H52" s="1541">
        <v>0.44664528999999997</v>
      </c>
      <c r="I52" s="1663">
        <v>0.44664528999999997</v>
      </c>
      <c r="J52" s="1663">
        <v>0.44664528999999997</v>
      </c>
      <c r="K52" s="1541">
        <v>0.44664528999999997</v>
      </c>
      <c r="L52" s="1541">
        <v>0.44664528999999997</v>
      </c>
      <c r="M52" s="1663">
        <v>0.44664528999999997</v>
      </c>
      <c r="N52" s="1663">
        <v>0.44664528999999997</v>
      </c>
      <c r="O52" s="1663">
        <v>0.44664528999999997</v>
      </c>
      <c r="P52" s="1663">
        <v>0.44664528999999997</v>
      </c>
      <c r="Q52" s="1664">
        <v>0.44664528999999997</v>
      </c>
      <c r="R52" s="1351">
        <f>Q52-P52</f>
        <v>0</v>
      </c>
      <c r="S52" s="558"/>
      <c r="U52" s="315"/>
    </row>
    <row r="53" spans="2:30" s="251" customFormat="1">
      <c r="B53" s="250"/>
      <c r="D53" s="1352" t="str">
        <f>IF(Indice_index!$Z$1=1,"Total","Total")</f>
        <v>Total</v>
      </c>
      <c r="E53" s="1354">
        <f>E51+E44</f>
        <v>299.90618129000001</v>
      </c>
      <c r="F53" s="1353">
        <f t="shared" ref="F53:O53" si="5">F51+F44</f>
        <v>414.62343429000003</v>
      </c>
      <c r="G53" s="1353">
        <f t="shared" si="5"/>
        <v>460.43011360000003</v>
      </c>
      <c r="H53" s="1353">
        <f t="shared" si="5"/>
        <v>512.06127758999992</v>
      </c>
      <c r="I53" s="1353">
        <f t="shared" si="5"/>
        <v>606.92522621000023</v>
      </c>
      <c r="J53" s="1353">
        <f t="shared" si="5"/>
        <v>704.34007235000013</v>
      </c>
      <c r="K53" s="1353">
        <f t="shared" si="5"/>
        <v>840.63544771999989</v>
      </c>
      <c r="L53" s="1353">
        <f t="shared" si="5"/>
        <v>925.32968610000023</v>
      </c>
      <c r="M53" s="1353">
        <f t="shared" si="5"/>
        <v>783.58631880999997</v>
      </c>
      <c r="N53" s="1353">
        <f>N51+N44</f>
        <v>909.74997963999999</v>
      </c>
      <c r="O53" s="1353">
        <f t="shared" si="5"/>
        <v>984.30949067999995</v>
      </c>
      <c r="P53" s="1353">
        <f>P51+P44</f>
        <v>1173.9401784500001</v>
      </c>
      <c r="Q53" s="1354">
        <f>Q51+Q44</f>
        <v>263.14634806999999</v>
      </c>
      <c r="R53" s="1355">
        <f>Q53-P53</f>
        <v>-910.79383038000014</v>
      </c>
      <c r="S53" s="250"/>
      <c r="U53" s="315"/>
    </row>
    <row r="54" spans="2:30" ht="15" customHeight="1">
      <c r="B54" s="96"/>
      <c r="D54" s="1356"/>
      <c r="E54" s="1357"/>
      <c r="F54" s="1357"/>
      <c r="G54" s="1357"/>
      <c r="H54" s="1357"/>
      <c r="I54" s="1357"/>
      <c r="J54" s="1357"/>
      <c r="K54" s="1357"/>
      <c r="L54" s="1357"/>
      <c r="M54" s="1357"/>
      <c r="N54" s="1357"/>
      <c r="O54" s="1357"/>
      <c r="P54" s="1357"/>
      <c r="Q54" s="1357"/>
      <c r="R54" s="1357"/>
      <c r="S54" s="96"/>
      <c r="U54" s="168"/>
      <c r="AB54" s="137"/>
      <c r="AC54" s="137"/>
      <c r="AD54" s="137"/>
    </row>
    <row r="55" spans="2:30" ht="15" customHeight="1">
      <c r="B55" s="96"/>
      <c r="D55" s="1358" t="str">
        <f>IF(Indice_index!$Z$1=1,"Notas:","Notes:")</f>
        <v>Notas:</v>
      </c>
      <c r="E55" s="1359"/>
      <c r="F55" s="1359"/>
      <c r="K55" s="1359"/>
      <c r="R55" s="1359"/>
      <c r="S55" s="96"/>
      <c r="U55" s="168"/>
      <c r="AB55" s="137"/>
      <c r="AC55" s="137"/>
      <c r="AD55" s="137"/>
    </row>
    <row r="56" spans="2:30" ht="15" customHeight="1">
      <c r="B56" s="96"/>
      <c r="D56" s="1359"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6" s="1359"/>
      <c r="F56" s="1359"/>
      <c r="K56" s="1359"/>
      <c r="R56" s="1359"/>
      <c r="S56" s="96"/>
      <c r="U56" s="168"/>
      <c r="AB56" s="137"/>
      <c r="AC56" s="137"/>
      <c r="AD56" s="137"/>
    </row>
    <row r="57" spans="2:30" ht="15" customHeight="1">
      <c r="B57" s="96"/>
      <c r="D57" s="1336" t="str">
        <f>IF(Indice_index!$Z$1=1,"AL(*): Considerou-se o stock de dezembro 2019, para efeitos de análise.","LG(*): December 2019 stock was considered for analysis purposes was considered for the purpose of analysis.")</f>
        <v>AL(*): Considerou-se o stock de dezembro 2019, para efeitos de análise.</v>
      </c>
      <c r="E57" s="1359"/>
      <c r="F57" s="1359"/>
      <c r="G57" s="1359"/>
      <c r="L57" s="1359"/>
      <c r="R57" s="1359"/>
      <c r="S57" s="96"/>
    </row>
    <row r="58" spans="2:30">
      <c r="B58" s="96"/>
      <c r="C58" s="96"/>
      <c r="D58" s="1335" t="str">
        <f>IF(Indice_index!$Z$1=1,"EPR: Dados revistos março 22 a novembro 22","Reclassified Entities: Revised data for March 22 to November22")</f>
        <v>EPR: Dados revistos março 22 a novembro 22</v>
      </c>
      <c r="E58" s="1335"/>
      <c r="F58" s="1335"/>
      <c r="G58" s="1335"/>
      <c r="H58" s="1335"/>
      <c r="I58" s="1335"/>
      <c r="J58" s="1335"/>
      <c r="K58" s="1335"/>
      <c r="L58" s="1335"/>
      <c r="M58" s="1335"/>
      <c r="N58" s="1335"/>
      <c r="O58" s="1335"/>
      <c r="P58" s="1335"/>
      <c r="Q58" s="1335"/>
      <c r="R58" s="1335"/>
      <c r="S58" s="96"/>
    </row>
    <row r="59" spans="2:30">
      <c r="B59" s="96"/>
      <c r="C59" s="96"/>
      <c r="D59" s="1789"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9" s="1789"/>
      <c r="F59" s="1789"/>
      <c r="G59" s="1789"/>
      <c r="H59" s="1789"/>
      <c r="I59" s="1789"/>
      <c r="J59" s="1789"/>
      <c r="K59" s="1789"/>
      <c r="L59" s="1789"/>
      <c r="M59" s="1789"/>
      <c r="N59" s="1789"/>
      <c r="O59" s="1789"/>
      <c r="P59" s="1789"/>
      <c r="Q59" s="1789"/>
      <c r="R59" s="1789"/>
      <c r="S59" s="96"/>
    </row>
    <row r="60" spans="2:30">
      <c r="C60" s="96"/>
      <c r="D60" s="96"/>
      <c r="E60" s="96"/>
      <c r="F60" s="96"/>
      <c r="G60" s="96"/>
      <c r="H60" s="96"/>
      <c r="I60" s="96"/>
      <c r="J60" s="96"/>
      <c r="K60" s="96"/>
      <c r="L60" s="96"/>
      <c r="M60" s="96"/>
      <c r="N60" s="96"/>
      <c r="O60" s="96"/>
      <c r="P60" s="96"/>
      <c r="Q60" s="96"/>
      <c r="R60" s="96"/>
    </row>
    <row r="61" spans="2:30">
      <c r="D61" s="96"/>
      <c r="E61" s="96"/>
      <c r="F61" s="96"/>
      <c r="G61" s="96"/>
      <c r="H61" s="96"/>
      <c r="I61" s="96"/>
      <c r="J61" s="96"/>
      <c r="K61" s="96"/>
      <c r="L61" s="96"/>
      <c r="M61" s="96"/>
      <c r="N61" s="96"/>
      <c r="O61" s="96"/>
      <c r="P61" s="96"/>
      <c r="Q61" s="96"/>
      <c r="R61" s="96"/>
    </row>
    <row r="62" spans="2:30">
      <c r="D62" s="96"/>
      <c r="E62" s="640"/>
      <c r="F62" s="640"/>
      <c r="G62" s="640"/>
      <c r="H62" s="640"/>
      <c r="I62" s="640"/>
      <c r="J62" s="640"/>
      <c r="K62" s="640"/>
      <c r="L62" s="640"/>
      <c r="M62" s="640"/>
      <c r="N62" s="640"/>
      <c r="O62" s="640"/>
      <c r="P62" s="640"/>
      <c r="Q62" s="96"/>
      <c r="R62" s="96"/>
    </row>
    <row r="63" spans="2:30">
      <c r="E63" s="330"/>
      <c r="F63" s="330"/>
      <c r="G63" s="330"/>
      <c r="H63" s="330"/>
      <c r="I63" s="330"/>
      <c r="J63" s="330"/>
      <c r="K63" s="330"/>
      <c r="L63" s="330"/>
      <c r="M63" s="330"/>
      <c r="N63" s="330"/>
      <c r="O63" s="330"/>
    </row>
  </sheetData>
  <mergeCells count="15">
    <mergeCell ref="D59:R59"/>
    <mergeCell ref="T36:AC38"/>
    <mergeCell ref="C21:D21"/>
    <mergeCell ref="C22:C26"/>
    <mergeCell ref="C27:D27"/>
    <mergeCell ref="C28:D28"/>
    <mergeCell ref="D42:D43"/>
    <mergeCell ref="R42:R43"/>
    <mergeCell ref="F42:Q42"/>
    <mergeCell ref="R8:R9"/>
    <mergeCell ref="C8:D9"/>
    <mergeCell ref="C10:C14"/>
    <mergeCell ref="C15:D15"/>
    <mergeCell ref="C16:C20"/>
    <mergeCell ref="F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ignoredErrors>
    <ignoredError sqref="E44:Q44" formulaRange="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703125" defaultRowHeight="12"/>
  <cols>
    <col min="1" max="1" width="2.5703125" style="229" customWidth="1"/>
    <col min="2" max="2" width="4.42578125" style="229" customWidth="1"/>
    <col min="3" max="3" width="5.42578125" style="229" customWidth="1"/>
    <col min="4" max="4" width="9.5703125" style="229" customWidth="1"/>
    <col min="5" max="5" width="11" style="229" customWidth="1"/>
    <col min="6" max="6" width="9.42578125" style="229" customWidth="1"/>
    <col min="7" max="7" width="11" style="229" customWidth="1"/>
    <col min="8" max="8" width="9.5703125" style="229" customWidth="1"/>
    <col min="9" max="9" width="10.85546875" style="229" customWidth="1"/>
    <col min="10" max="10" width="9.85546875" style="229" customWidth="1"/>
    <col min="11" max="11" width="9.42578125" style="229" customWidth="1"/>
    <col min="12" max="12" width="10.140625" style="171" customWidth="1"/>
    <col min="13" max="13" width="9.42578125" style="171" customWidth="1"/>
    <col min="14" max="14" width="9.5703125" style="171" customWidth="1"/>
    <col min="15" max="15" width="10" style="171" customWidth="1"/>
    <col min="16" max="16" width="10.42578125" style="171" customWidth="1"/>
    <col min="17" max="17" width="13" style="229" customWidth="1"/>
    <col min="18" max="18" width="8.5703125" style="229" customWidth="1"/>
    <col min="19" max="19" width="7.5703125" style="229" customWidth="1"/>
    <col min="20" max="20" width="8.85546875" style="229" customWidth="1"/>
    <col min="21" max="21" width="11.5703125" style="229" customWidth="1"/>
    <col min="22" max="22" width="8.140625" style="229" customWidth="1"/>
    <col min="23" max="23" width="13" style="229" customWidth="1"/>
    <col min="24" max="24" width="9.140625" style="50" customWidth="1"/>
    <col min="25" max="25" width="10.85546875" style="50" customWidth="1"/>
    <col min="26" max="26" width="9.140625" style="50" customWidth="1"/>
    <col min="27" max="27" width="9.140625" style="170" customWidth="1"/>
    <col min="28" max="29" width="6.5703125" style="229"/>
    <col min="30" max="30" width="7" style="229" bestFit="1" customWidth="1"/>
    <col min="31" max="31" width="6.5703125" style="229" bestFit="1" customWidth="1"/>
    <col min="32" max="34" width="7" style="229" bestFit="1" customWidth="1"/>
    <col min="35" max="35" width="6.5703125" style="229" bestFit="1" customWidth="1"/>
    <col min="36" max="37" width="7" style="229" bestFit="1" customWidth="1"/>
    <col min="38" max="38" width="6.5703125" style="229" bestFit="1" customWidth="1"/>
    <col min="39" max="41" width="7" style="229" bestFit="1" customWidth="1"/>
    <col min="42" max="16384" width="6.5703125" style="229"/>
  </cols>
  <sheetData>
    <row r="1" spans="2:34" s="50" customFormat="1" ht="15" customHeight="1">
      <c r="B1" s="49"/>
      <c r="H1" s="155"/>
      <c r="I1" s="155"/>
    </row>
    <row r="2" spans="2:34" ht="24" customHeight="1">
      <c r="B2" s="50"/>
      <c r="C2" s="51" t="str">
        <f>IF(Indice_index!$Z$1=1,"19 - Indicadores Físicos e Financeiros do Sistema de Proteção Social da Função Pública","19 - Public Servants Social Scheme - Flows")</f>
        <v>19 - Indicadores Físicos e Financeiros do Sistema de Proteção Social da Função Pública</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040" t="str">
        <f>IF(Indice_index!$Z$1=1,"Pensionistas","Pensioners")</f>
        <v>Pensionistas</v>
      </c>
      <c r="D5" s="442"/>
      <c r="E5" s="442"/>
      <c r="F5" s="442"/>
      <c r="G5" s="442"/>
      <c r="H5" s="1041"/>
      <c r="I5" s="1041"/>
      <c r="J5" s="1041"/>
      <c r="K5" s="1042" t="str">
        <f>IF(Indice_index!$Z$1=1,"Subscritores","Subscribers")</f>
        <v>Subscritores</v>
      </c>
      <c r="L5" s="1041"/>
      <c r="M5" s="1041"/>
      <c r="N5" s="1041"/>
      <c r="O5" s="1041"/>
      <c r="P5" s="1041"/>
      <c r="Q5" s="442"/>
      <c r="X5" s="240"/>
      <c r="Y5" s="240"/>
      <c r="Z5" s="240"/>
      <c r="AA5" s="243"/>
    </row>
    <row r="6" spans="2:34" ht="11.25" customHeight="1">
      <c r="C6" s="1043"/>
      <c r="D6" s="1044"/>
      <c r="E6" s="1797" t="str">
        <f>IF(Indice_index!$Z$1=1,"Número","Number")</f>
        <v>Número</v>
      </c>
      <c r="F6" s="1797"/>
      <c r="G6" s="1797"/>
      <c r="H6" s="1797"/>
      <c r="I6" s="1799" t="str">
        <f>IF(Indice_index!$Z$1=1,"Valor médio pago por pensionista (€)","Average Value paid per Pensioner (€)")</f>
        <v>Valor médio pago por pensionista (€)</v>
      </c>
      <c r="K6" s="1800" t="str">
        <f>IF(Indice_index!$Z$1=1,"Número","Number")</f>
        <v>Número</v>
      </c>
      <c r="L6" s="229"/>
      <c r="M6" s="229"/>
      <c r="N6" s="229"/>
      <c r="O6" s="229"/>
      <c r="P6" s="229"/>
      <c r="R6" s="50"/>
      <c r="S6" s="50"/>
      <c r="T6" s="50"/>
      <c r="U6" s="170"/>
      <c r="X6" s="229"/>
      <c r="Y6" s="229"/>
      <c r="Z6" s="229"/>
      <c r="AA6" s="229"/>
    </row>
    <row r="7" spans="2:34" ht="33.75">
      <c r="C7" s="1045"/>
      <c r="D7" s="1046"/>
      <c r="E7" s="1047" t="str">
        <f>IF(Indice_index!$Z$1=1,"Velhice e Outros Motivos","Old age and other Reasons")</f>
        <v>Velhice e Outros Motivos</v>
      </c>
      <c r="F7" s="1048" t="str">
        <f>IF(Indice_index!$Z$1=1,"Invalidez","Disability")</f>
        <v>Invalidez</v>
      </c>
      <c r="G7" s="1047" t="str">
        <f>IF(Indice_index!$Z$1=1,"Sobrevivência e Outros","Survival and Others")</f>
        <v>Sobrevivência e Outros</v>
      </c>
      <c r="H7" s="1047" t="str">
        <f>IF(Indice_index!$Z$1=1,"Total de Pensionistas","Total of Pensioners")</f>
        <v>Total de Pensionistas</v>
      </c>
      <c r="I7" s="1799"/>
      <c r="K7" s="1801"/>
      <c r="L7" s="229"/>
      <c r="M7" s="229"/>
      <c r="N7" s="229"/>
      <c r="O7" s="229"/>
      <c r="P7" s="229"/>
      <c r="R7" s="50"/>
      <c r="S7" s="50"/>
      <c r="T7" s="50"/>
      <c r="U7" s="170"/>
      <c r="X7" s="229"/>
      <c r="Y7" s="229"/>
      <c r="Z7" s="229"/>
      <c r="AA7" s="229"/>
    </row>
    <row r="8" spans="2:34" hidden="1">
      <c r="C8" s="1049" t="s">
        <v>10</v>
      </c>
      <c r="D8" s="631"/>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049"/>
      <c r="D9" s="172" t="str">
        <f>IF(Indice_index!$Z$1=1,"janeiro","January")</f>
        <v>janeiro</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049"/>
      <c r="D10" s="172" t="str">
        <f>IF(Indice_index!$Z$1=1,"fevereiro","February")</f>
        <v>fevereiro</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049"/>
      <c r="D11" s="172" t="str">
        <f>IF(Indice_index!$Z$1=1,"março","March")</f>
        <v>março</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049"/>
      <c r="D12" s="172" t="str">
        <f>IF(Indice_index!$Z$1=1,"abril","April")</f>
        <v>abril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049"/>
      <c r="D13" s="172" t="str">
        <f>IF(Indice_index!$Z$1=1,"maio","May")</f>
        <v>maio</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049"/>
      <c r="D14" s="172" t="str">
        <f>IF(Indice_index!$Z$1=1,"junho","June")</f>
        <v>junho</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049"/>
      <c r="D15" s="172" t="str">
        <f>IF(Indice_index!$Z$1=1,"julho","July")</f>
        <v>julho</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049"/>
      <c r="D16" s="172" t="str">
        <f>IF(Indice_index!$Z$1=1,"agosto","August")</f>
        <v>agosto</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049"/>
      <c r="D17" s="172" t="str">
        <f>IF(Indice_index!$Z$1=1,"setembro","September")</f>
        <v>setembro</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049"/>
      <c r="D18" s="172" t="str">
        <f>IF(Indice_index!$Z$1=1,"outubro","October")</f>
        <v>outubro</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049"/>
      <c r="D19" s="172" t="str">
        <f>IF(Indice_index!$Z$1=1,"novembro","November")</f>
        <v>novembro</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049"/>
      <c r="D20" s="172" t="str">
        <f>IF(Indice_index!$Z$1=1,"dezembro","December")</f>
        <v>dezembro</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049"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049"/>
      <c r="D22" s="172" t="str">
        <f>IF(Indice_index!$Z$1=1,"janeiro","January")</f>
        <v>janeiro</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050"/>
      <c r="D23" s="172" t="str">
        <f>IF(Indice_index!$Z$1=1,"fevereiro","February")</f>
        <v>fevereiro</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050"/>
      <c r="D24" s="172" t="str">
        <f>IF(Indice_index!$Z$1=1,"março","March")</f>
        <v>março</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050"/>
      <c r="D25" s="172" t="str">
        <f>IF(Indice_index!$Z$1=1,"abril","April")</f>
        <v>abril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050"/>
      <c r="D26" s="172" t="str">
        <f>IF(Indice_index!$Z$1=1,"maio","May")</f>
        <v>maio</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050"/>
      <c r="D27" s="172" t="str">
        <f>IF(Indice_index!$Z$1=1,"junho","June")</f>
        <v>junho</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050"/>
      <c r="D28" s="172" t="str">
        <f>IF(Indice_index!$Z$1=1,"julho","July")</f>
        <v>julho</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050"/>
      <c r="D29" s="172" t="str">
        <f>IF(Indice_index!$Z$1=1,"agosto","August")</f>
        <v>agosto</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050"/>
      <c r="D30" s="172" t="str">
        <f>IF(Indice_index!$Z$1=1,"setembro","September")</f>
        <v>setembro</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050"/>
      <c r="D31" s="172" t="str">
        <f>IF(Indice_index!$Z$1=1,"outubro","October")</f>
        <v>outubro</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050"/>
      <c r="D32" s="172" t="str">
        <f>IF(Indice_index!$Z$1=1,"novembro","November")</f>
        <v>novembro</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050"/>
      <c r="D33" s="172" t="str">
        <f>IF(Indice_index!$Z$1=1,"dezembro","December")</f>
        <v>dezembro</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049"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050"/>
      <c r="D35" s="172" t="str">
        <f>IF(Indice_index!$Z$1=1,"janeiro","January")</f>
        <v>janeiro</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050"/>
      <c r="D36" s="172" t="str">
        <f>IF(Indice_index!$Z$1=1,"fevereiro","February")</f>
        <v>fevereiro</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050"/>
      <c r="D37" s="172" t="str">
        <f>IF(Indice_index!$Z$1=1,"março","March")</f>
        <v>março</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050"/>
      <c r="D38" s="172" t="str">
        <f>IF(Indice_index!$Z$1=1,"abril","April")</f>
        <v>abril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050"/>
      <c r="D39" s="172" t="str">
        <f>IF(Indice_index!$Z$1=1,"maio","May")</f>
        <v>maio</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050"/>
      <c r="D40" s="172" t="str">
        <f>IF(Indice_index!$Z$1=1,"junho","June")</f>
        <v>junho</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050"/>
      <c r="D41" s="172" t="str">
        <f>IF(Indice_index!$Z$1=1,"julho","July")</f>
        <v>julho</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050"/>
      <c r="D42" s="172" t="str">
        <f>IF(Indice_index!$Z$1=1,"agosto","August")</f>
        <v>agosto</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050"/>
      <c r="D43" s="172" t="str">
        <f>IF(Indice_index!$Z$1=1,"setembro","September")</f>
        <v>setembro</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050"/>
      <c r="D44" s="172" t="str">
        <f>IF(Indice_index!$Z$1=1,"outubro","October")</f>
        <v>outubro</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050"/>
      <c r="D45" s="172" t="str">
        <f>IF(Indice_index!$Z$1=1,"novembro","November")</f>
        <v>novembro</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050"/>
      <c r="D46" s="172" t="str">
        <f>IF(Indice_index!$Z$1=1,"dezembro","December")</f>
        <v>dezembro</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049"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050"/>
      <c r="D48" s="172" t="str">
        <f>IF(Indice_index!$Z$1=1,"janeiro","January")</f>
        <v>janeiro</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050"/>
      <c r="D49" s="172" t="str">
        <f>IF(Indice_index!$Z$1=1,"fevereiro","February")</f>
        <v>fevereiro</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050"/>
      <c r="D50" s="172" t="str">
        <f>IF(Indice_index!$Z$1=1,"março","March")</f>
        <v>março</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050"/>
      <c r="D51" s="172" t="str">
        <f>IF(Indice_index!$Z$1=1,"abril","April")</f>
        <v>abril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050"/>
      <c r="D52" s="172" t="str">
        <f>IF(Indice_index!$Z$1=1,"maio","May")</f>
        <v>maio</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050"/>
      <c r="D53" s="172" t="str">
        <f>IF(Indice_index!$Z$1=1,"junho","June")</f>
        <v>junho</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050"/>
      <c r="D54" s="172" t="str">
        <f>IF(Indice_index!$Z$1=1,"julho","July")</f>
        <v>julho</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050"/>
      <c r="D55" s="172" t="str">
        <f>IF(Indice_index!$Z$1=1,"agosto","August")</f>
        <v>agosto</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050"/>
      <c r="D56" s="172" t="str">
        <f>IF(Indice_index!$Z$1=1,"setembro","September")</f>
        <v>setembro</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050"/>
      <c r="D57" s="172" t="str">
        <f>IF(Indice_index!$Z$1=1,"outubro","October")</f>
        <v>outubro</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050"/>
      <c r="D58" s="172" t="str">
        <f>IF(Indice_index!$Z$1=1,"novembro","November")</f>
        <v>novembro</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050"/>
      <c r="D59" s="172" t="str">
        <f>IF(Indice_index!$Z$1=1,"dezembro","December")</f>
        <v>dezembro</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051">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050"/>
      <c r="D61" s="172" t="str">
        <f>IF(Indice_index!$Z$1=1,"janeiro","January")</f>
        <v>janeiro</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050"/>
      <c r="D62" s="172" t="str">
        <f>IF(Indice_index!$Z$1=1,"fevereiro","February")</f>
        <v>fevereiro</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050"/>
      <c r="D63" s="172" t="str">
        <f>IF(Indice_index!$Z$1=1,"março","March")</f>
        <v>março</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050"/>
      <c r="D64" s="172" t="str">
        <f>IF(Indice_index!$Z$1=1,"abril","April")</f>
        <v>abril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050"/>
      <c r="D65" s="172" t="str">
        <f>IF(Indice_index!$Z$1=1,"maio","May")</f>
        <v>maio</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050"/>
      <c r="D66" s="172" t="str">
        <f>IF(Indice_index!$Z$1=1,"junho","June")</f>
        <v>junho</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050"/>
      <c r="D67" s="172" t="str">
        <f>IF(Indice_index!$Z$1=1,"julho","July")</f>
        <v>julho</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050"/>
      <c r="D68" s="172" t="str">
        <f>IF(Indice_index!$Z$1=1,"agosto","August")</f>
        <v>agosto</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050"/>
      <c r="D69" s="172" t="str">
        <f>IF(Indice_index!$Z$1=1,"setembro","September")</f>
        <v>setembro</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050"/>
      <c r="D70" s="172" t="str">
        <f>IF(Indice_index!$Z$1=1,"outubro","October")</f>
        <v>outubro</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050"/>
      <c r="D71" s="172" t="str">
        <f>IF(Indice_index!$Z$1=1,"novembro","November")</f>
        <v>novembro</v>
      </c>
      <c r="E71" s="172">
        <v>409108</v>
      </c>
      <c r="F71" s="172">
        <v>73710</v>
      </c>
      <c r="G71" s="172">
        <v>159949</v>
      </c>
      <c r="H71" s="172">
        <v>642767</v>
      </c>
      <c r="I71" s="171">
        <v>1159</v>
      </c>
      <c r="K71" s="172">
        <v>464885</v>
      </c>
      <c r="R71" s="699"/>
      <c r="S71" s="699"/>
      <c r="T71" s="699"/>
      <c r="U71" s="172"/>
      <c r="V71" s="172"/>
      <c r="W71" s="172"/>
      <c r="X71" s="172"/>
      <c r="Y71" s="172"/>
      <c r="Z71" s="172"/>
      <c r="AA71" s="172"/>
      <c r="AB71" s="172"/>
      <c r="AC71" s="172"/>
      <c r="AD71" s="172"/>
      <c r="AE71" s="172"/>
      <c r="AF71" s="172"/>
      <c r="AG71" s="172"/>
      <c r="AH71" s="172"/>
    </row>
    <row r="72" spans="3:34" hidden="1">
      <c r="C72" s="1050"/>
      <c r="D72" s="172" t="str">
        <f>IF(Indice_index!$Z$1=1,"dezembro","December")</f>
        <v>dezembro</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051">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050"/>
      <c r="D74" s="172" t="str">
        <f>IF(Indice_index!$Z$1=1,"janeiro","January")</f>
        <v>janeiro</v>
      </c>
      <c r="E74" s="172">
        <v>408939</v>
      </c>
      <c r="F74" s="172">
        <v>73624</v>
      </c>
      <c r="G74" s="172">
        <v>160065</v>
      </c>
      <c r="H74" s="172">
        <v>642628</v>
      </c>
      <c r="I74" s="171">
        <v>1143.5</v>
      </c>
      <c r="K74" s="172">
        <v>462411</v>
      </c>
      <c r="M74" s="229"/>
      <c r="R74" s="699"/>
      <c r="S74" s="699"/>
      <c r="T74" s="699"/>
      <c r="U74" s="172"/>
      <c r="V74" s="172"/>
      <c r="W74" s="172"/>
      <c r="X74" s="172"/>
      <c r="Y74" s="172"/>
      <c r="Z74" s="172"/>
      <c r="AA74" s="172"/>
      <c r="AB74" s="172"/>
      <c r="AC74" s="172"/>
      <c r="AD74" s="172"/>
      <c r="AE74" s="172"/>
      <c r="AF74" s="172"/>
      <c r="AG74" s="172"/>
      <c r="AH74" s="172"/>
    </row>
    <row r="75" spans="3:34" hidden="1">
      <c r="C75" s="1050"/>
      <c r="D75" s="172" t="str">
        <f>IF(Indice_index!$Z$1=1,"fevereiro","February")</f>
        <v>fevereiro</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050"/>
      <c r="D76" s="172" t="str">
        <f>IF(Indice_index!$Z$1=1,"março","March")</f>
        <v>março</v>
      </c>
      <c r="E76" s="172">
        <v>407540</v>
      </c>
      <c r="F76" s="172">
        <v>73348</v>
      </c>
      <c r="G76" s="172">
        <v>159347</v>
      </c>
      <c r="H76" s="172">
        <v>640235</v>
      </c>
      <c r="I76" s="171">
        <v>1130.3</v>
      </c>
      <c r="K76" s="172">
        <v>461332</v>
      </c>
      <c r="R76" s="699"/>
      <c r="S76" s="699"/>
      <c r="T76" s="699"/>
      <c r="U76" s="172"/>
      <c r="V76" s="172"/>
      <c r="W76" s="172"/>
      <c r="X76" s="172"/>
      <c r="Y76" s="172"/>
      <c r="Z76" s="172"/>
      <c r="AA76" s="172"/>
      <c r="AB76" s="172"/>
      <c r="AC76" s="172"/>
      <c r="AD76" s="172"/>
      <c r="AE76" s="172"/>
      <c r="AF76" s="172"/>
      <c r="AG76" s="172"/>
      <c r="AH76" s="172"/>
    </row>
    <row r="77" spans="3:34" hidden="1">
      <c r="C77" s="1050"/>
      <c r="D77" s="172" t="str">
        <f>IF(Indice_index!$Z$1=1,"abril","April")</f>
        <v>abril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050"/>
      <c r="D78" s="172" t="str">
        <f>IF(Indice_index!$Z$1=1,"maio","May")</f>
        <v>maio</v>
      </c>
      <c r="E78" s="172">
        <v>407141</v>
      </c>
      <c r="F78" s="172">
        <v>73177</v>
      </c>
      <c r="G78" s="172">
        <v>159861</v>
      </c>
      <c r="H78" s="172">
        <v>640179</v>
      </c>
      <c r="I78" s="171">
        <v>1122.4000000000001</v>
      </c>
      <c r="K78" s="172">
        <v>460119</v>
      </c>
      <c r="R78" s="699"/>
      <c r="S78" s="699"/>
      <c r="T78" s="699"/>
      <c r="U78" s="172"/>
      <c r="V78" s="172"/>
      <c r="W78" s="172"/>
      <c r="X78" s="172"/>
      <c r="Y78" s="172"/>
      <c r="Z78" s="172"/>
      <c r="AA78" s="172"/>
      <c r="AB78" s="172"/>
      <c r="AC78" s="172"/>
      <c r="AD78" s="172"/>
      <c r="AE78" s="172"/>
      <c r="AF78" s="172"/>
      <c r="AG78" s="172"/>
      <c r="AH78" s="172"/>
    </row>
    <row r="79" spans="3:34" s="171" customFormat="1" hidden="1">
      <c r="C79" s="1050"/>
      <c r="D79" s="172" t="str">
        <f>IF(Indice_index!$Z$1=1,"junho","June")</f>
        <v>junho</v>
      </c>
      <c r="E79" s="172">
        <v>407346</v>
      </c>
      <c r="F79" s="172">
        <v>73104</v>
      </c>
      <c r="G79" s="172">
        <v>160094</v>
      </c>
      <c r="H79" s="172">
        <v>640544</v>
      </c>
      <c r="I79" s="171">
        <v>1121.5999999999999</v>
      </c>
      <c r="K79" s="172">
        <v>459273</v>
      </c>
      <c r="R79" s="699"/>
      <c r="S79" s="699"/>
      <c r="T79" s="699"/>
      <c r="U79" s="172"/>
      <c r="V79" s="172"/>
      <c r="W79" s="172"/>
      <c r="X79" s="172"/>
      <c r="Y79" s="172"/>
      <c r="Z79" s="172"/>
      <c r="AA79" s="172"/>
      <c r="AB79" s="172"/>
      <c r="AC79" s="172"/>
      <c r="AD79" s="172"/>
      <c r="AE79" s="172"/>
      <c r="AF79" s="172"/>
      <c r="AG79" s="172"/>
      <c r="AH79" s="172"/>
    </row>
    <row r="80" spans="3:34" hidden="1">
      <c r="C80" s="1050"/>
      <c r="D80" s="172" t="str">
        <f>IF(Indice_index!$Z$1=1,"julho","July")</f>
        <v>julho</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050"/>
      <c r="D81" s="172" t="str">
        <f>IF(Indice_index!$Z$1=1,"agosto","August")</f>
        <v>agosto</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050"/>
      <c r="D82" s="172" t="str">
        <f>IF(Indice_index!$Z$1=1,"setembro","September")</f>
        <v>setembro</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050"/>
      <c r="D83" s="172" t="str">
        <f>IF(Indice_index!$Z$1=1,"outubro","October")</f>
        <v>outubro</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050"/>
      <c r="D84" s="172" t="str">
        <f>IF(Indice_index!$Z$1=1,"novembro","November")</f>
        <v>novembro</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050"/>
      <c r="D85" s="172" t="str">
        <f>IF(Indice_index!$Z$1=1,"dezembro","December")</f>
        <v>dezembro</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051">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050"/>
      <c r="D87" s="172" t="str">
        <f>IF(Indice_index!$Z$1=1,"janeiro","January")</f>
        <v>janeiro</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050"/>
      <c r="D88" s="172" t="str">
        <f>IF(Indice_index!$Z$1=1,"fevereiro","February")</f>
        <v>fevereiro</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050"/>
      <c r="D89" s="172" t="str">
        <f>IF(Indice_index!$Z$1=1,"março","March")</f>
        <v>março</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050"/>
      <c r="D90" s="172" t="str">
        <f>IF(Indice_index!$Z$1=1,"abril","April")</f>
        <v>abril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050"/>
      <c r="D91" s="172" t="str">
        <f>IF(Indice_index!$Z$1=1,"maio","May")</f>
        <v>maio</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050"/>
      <c r="D92" s="172" t="str">
        <f>IF(Indice_index!$Z$1=1,"junho","June")</f>
        <v>junho</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050"/>
      <c r="D93" s="172" t="str">
        <f>IF(Indice_index!$Z$1=1,"julho","July")</f>
        <v>julho</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050"/>
      <c r="D94" s="172" t="str">
        <f>IF(Indice_index!$Z$1=1,"agosto","August")</f>
        <v>agosto</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050"/>
      <c r="D95" s="172" t="str">
        <f>IF(Indice_index!$Z$1=1,"setembro","September")</f>
        <v>setembro</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050"/>
      <c r="D96" s="172" t="str">
        <f>IF(Indice_index!$Z$1=1,"outubro","October")</f>
        <v>outubro</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050"/>
      <c r="D97" s="172" t="str">
        <f>IF(Indice_index!$Z$1=1,"novembro","November")</f>
        <v>novembro</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052"/>
      <c r="D98" s="172" t="str">
        <f>IF(Indice_index!$Z$1=1,"dezembro","December")</f>
        <v>dezembro</v>
      </c>
      <c r="E98" s="172">
        <v>407476</v>
      </c>
      <c r="F98" s="172">
        <v>71656</v>
      </c>
      <c r="G98" s="172">
        <v>163168</v>
      </c>
      <c r="H98" s="172">
        <v>642300</v>
      </c>
      <c r="I98" s="171">
        <v>1119.8</v>
      </c>
      <c r="J98" s="172"/>
      <c r="K98" s="172">
        <v>443528</v>
      </c>
      <c r="M98" s="232"/>
      <c r="N98" s="232"/>
      <c r="O98" s="232"/>
      <c r="P98" s="232"/>
      <c r="Q98" s="232"/>
      <c r="R98" s="232"/>
      <c r="S98" s="232"/>
      <c r="T98" s="699"/>
      <c r="U98" s="172"/>
      <c r="V98" s="172"/>
      <c r="W98" s="172"/>
      <c r="X98" s="172"/>
      <c r="Y98" s="172"/>
      <c r="Z98" s="172"/>
      <c r="AA98" s="172"/>
      <c r="AB98" s="172"/>
      <c r="AC98" s="172"/>
      <c r="AD98" s="172"/>
      <c r="AE98" s="172"/>
      <c r="AF98" s="172"/>
      <c r="AG98" s="172"/>
      <c r="AH98" s="172"/>
    </row>
    <row r="99" spans="3:34" ht="15" customHeight="1">
      <c r="C99" s="1051">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050"/>
      <c r="D100" s="172" t="str">
        <f>IF(Indice_index!$Z$1=1,"janeiro","January")</f>
        <v>janeiro</v>
      </c>
      <c r="E100" s="1053">
        <v>407457</v>
      </c>
      <c r="F100" s="1053">
        <v>71632</v>
      </c>
      <c r="G100" s="1053">
        <v>163301</v>
      </c>
      <c r="H100" s="1053">
        <v>642390</v>
      </c>
      <c r="I100" s="1054">
        <v>1144.9000000000001</v>
      </c>
      <c r="J100" s="1054"/>
      <c r="K100" s="1053">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050"/>
      <c r="D101" s="172" t="str">
        <f>IF(Indice_index!$Z$1=1,"fevereiro","February")</f>
        <v>fevereiro</v>
      </c>
      <c r="E101" s="1053">
        <v>407174</v>
      </c>
      <c r="F101" s="1053">
        <v>71523</v>
      </c>
      <c r="G101" s="1053">
        <v>163477</v>
      </c>
      <c r="H101" s="1053">
        <v>642174</v>
      </c>
      <c r="I101" s="1054">
        <v>1120.0999999999999</v>
      </c>
      <c r="J101" s="1054"/>
      <c r="K101" s="1053">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050"/>
      <c r="D102" s="172" t="str">
        <f>IF(Indice_index!$Z$1=1,"março","March")</f>
        <v>março</v>
      </c>
      <c r="E102" s="1053">
        <v>406468</v>
      </c>
      <c r="F102" s="1053">
        <v>71486</v>
      </c>
      <c r="G102" s="1053">
        <v>163448</v>
      </c>
      <c r="H102" s="1053">
        <v>641402</v>
      </c>
      <c r="I102" s="1054">
        <v>1108.9000000000001</v>
      </c>
      <c r="J102" s="1054"/>
      <c r="K102" s="1053">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050"/>
      <c r="D103" s="172" t="str">
        <f>IF(Indice_index!$Z$1=1,"abril","April")</f>
        <v>abril</v>
      </c>
      <c r="E103" s="1053">
        <v>406554</v>
      </c>
      <c r="F103" s="1053">
        <v>71547</v>
      </c>
      <c r="G103" s="1053">
        <v>163401</v>
      </c>
      <c r="H103" s="1053">
        <v>641502</v>
      </c>
      <c r="I103" s="1054">
        <v>1115.8</v>
      </c>
      <c r="J103" s="1054"/>
      <c r="K103" s="1053">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050"/>
      <c r="D104" s="172" t="str">
        <f>IF(Indice_index!$Z$1=1,"maio","May")</f>
        <v>maio</v>
      </c>
      <c r="E104" s="1053">
        <v>406842</v>
      </c>
      <c r="F104" s="1053">
        <v>71546</v>
      </c>
      <c r="G104" s="1053">
        <v>163306</v>
      </c>
      <c r="H104" s="1053">
        <v>641694</v>
      </c>
      <c r="I104" s="1054">
        <v>1112.3</v>
      </c>
      <c r="J104" s="1054"/>
      <c r="K104" s="1053">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050"/>
      <c r="D105" s="172" t="str">
        <f>IF(Indice_index!$Z$1=1,"junho","June")</f>
        <v>junho</v>
      </c>
      <c r="E105" s="1053">
        <v>406804</v>
      </c>
      <c r="F105" s="1053">
        <v>71532</v>
      </c>
      <c r="G105" s="1053">
        <v>163596</v>
      </c>
      <c r="H105" s="1053">
        <v>641932</v>
      </c>
      <c r="I105" s="1054">
        <v>1113.0999999999999</v>
      </c>
      <c r="J105" s="1054"/>
      <c r="K105" s="1053">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050"/>
      <c r="D106" s="172" t="str">
        <f>IF(Indice_index!$Z$1=1,"julho","July")</f>
        <v>julho</v>
      </c>
      <c r="E106" s="1053">
        <v>407083</v>
      </c>
      <c r="F106" s="1053">
        <v>71510</v>
      </c>
      <c r="G106" s="1053">
        <v>163772</v>
      </c>
      <c r="H106" s="1053">
        <v>642365</v>
      </c>
      <c r="I106" s="1054">
        <v>2173.6</v>
      </c>
      <c r="J106" s="1054"/>
      <c r="K106" s="1053">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050"/>
      <c r="D107" s="172" t="str">
        <f>IF(Indice_index!$Z$1=1,"agosto","August")</f>
        <v>agosto</v>
      </c>
      <c r="E107" s="1053">
        <v>407210</v>
      </c>
      <c r="F107" s="1053">
        <v>71452</v>
      </c>
      <c r="G107" s="1053">
        <v>164027</v>
      </c>
      <c r="H107" s="1053">
        <v>642689</v>
      </c>
      <c r="I107" s="1054">
        <v>1132.9000000000001</v>
      </c>
      <c r="J107" s="1054"/>
      <c r="K107" s="1053">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050"/>
      <c r="D108" s="172" t="str">
        <f>IF(Indice_index!$Z$1=1,"setembro","September")</f>
        <v>setembro</v>
      </c>
      <c r="E108" s="1053">
        <v>407461</v>
      </c>
      <c r="F108" s="1053">
        <v>71450</v>
      </c>
      <c r="G108" s="1053">
        <v>164231</v>
      </c>
      <c r="H108" s="1053">
        <v>643142</v>
      </c>
      <c r="I108" s="1054">
        <v>1113.5999999999999</v>
      </c>
      <c r="J108" s="1054"/>
      <c r="K108" s="1053">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050"/>
      <c r="D109" s="172" t="str">
        <f>IF(Indice_index!$Z$1=1,"outubro","October")</f>
        <v>outubro</v>
      </c>
      <c r="E109" s="1055">
        <v>407389</v>
      </c>
      <c r="F109" s="1055">
        <v>71309</v>
      </c>
      <c r="G109" s="1055">
        <v>164320</v>
      </c>
      <c r="H109" s="1055">
        <v>643018</v>
      </c>
      <c r="I109" s="1056">
        <v>1111.7</v>
      </c>
      <c r="J109" s="1056"/>
      <c r="K109" s="1055">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050"/>
      <c r="D110" s="172" t="str">
        <f>IF(Indice_index!$Z$1=1,"novembro","November")</f>
        <v>novembro</v>
      </c>
      <c r="E110" s="1057">
        <v>408592</v>
      </c>
      <c r="F110" s="1057">
        <v>71287</v>
      </c>
      <c r="G110" s="1057">
        <v>164693</v>
      </c>
      <c r="H110" s="1057">
        <v>644572</v>
      </c>
      <c r="I110" s="1058">
        <v>2221.3000000000002</v>
      </c>
      <c r="J110" s="1058"/>
      <c r="K110" s="1057">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052"/>
      <c r="D111" s="172" t="str">
        <f>IF(Indice_index!$Z$1=1,"dezembro","December")</f>
        <v>dezembro</v>
      </c>
      <c r="E111" s="172">
        <v>409789</v>
      </c>
      <c r="F111" s="172">
        <v>71225</v>
      </c>
      <c r="G111" s="172">
        <v>164514</v>
      </c>
      <c r="H111" s="172">
        <v>645528</v>
      </c>
      <c r="I111" s="171">
        <v>1129.8</v>
      </c>
      <c r="J111" s="172"/>
      <c r="K111" s="172">
        <v>431132</v>
      </c>
      <c r="M111" s="227"/>
      <c r="N111" s="227"/>
      <c r="O111" s="227"/>
      <c r="P111" s="227"/>
      <c r="Q111" s="227"/>
      <c r="R111" s="227"/>
      <c r="S111" s="227"/>
      <c r="T111" s="699"/>
      <c r="U111" s="172"/>
      <c r="V111" s="172"/>
      <c r="W111" s="172"/>
      <c r="X111" s="172"/>
      <c r="Y111" s="172"/>
      <c r="Z111" s="172"/>
      <c r="AA111" s="172"/>
      <c r="AB111" s="172"/>
      <c r="AC111" s="172"/>
      <c r="AD111" s="172"/>
      <c r="AE111" s="172"/>
      <c r="AF111" s="172"/>
      <c r="AG111" s="172"/>
      <c r="AH111" s="172"/>
    </row>
    <row r="112" spans="3:34" ht="15" customHeight="1">
      <c r="C112" s="1051">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050"/>
      <c r="D113" s="172" t="str">
        <f>IF(Indice_index!$Z$1=1,"janeiro","January")</f>
        <v>janeiro</v>
      </c>
      <c r="E113" s="1053">
        <v>410101</v>
      </c>
      <c r="F113" s="1053">
        <v>71061</v>
      </c>
      <c r="G113" s="1053">
        <v>165420</v>
      </c>
      <c r="H113" s="1053">
        <v>646582</v>
      </c>
      <c r="I113" s="1054">
        <v>1146.5</v>
      </c>
      <c r="J113" s="1054"/>
      <c r="K113" s="1053">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050"/>
      <c r="D114" s="172" t="str">
        <f>IF(Indice_index!$Z$1=1,"fevereiro","February")</f>
        <v>fevereiro</v>
      </c>
      <c r="E114" s="1053">
        <v>410094</v>
      </c>
      <c r="F114" s="1053">
        <v>70877</v>
      </c>
      <c r="G114" s="1053">
        <v>165251</v>
      </c>
      <c r="H114" s="1053">
        <v>646222</v>
      </c>
      <c r="I114" s="1054">
        <v>1125.4000000000001</v>
      </c>
      <c r="J114" s="1054"/>
      <c r="K114" s="1053">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050"/>
      <c r="D115" s="172" t="str">
        <f>IF(Indice_index!$Z$1=1,"março","March")</f>
        <v>março</v>
      </c>
      <c r="E115" s="1053">
        <v>410087</v>
      </c>
      <c r="F115" s="1053">
        <v>70899</v>
      </c>
      <c r="G115" s="1053">
        <v>165182</v>
      </c>
      <c r="H115" s="1053">
        <v>646168</v>
      </c>
      <c r="I115" s="1054">
        <v>1121.3</v>
      </c>
      <c r="J115" s="1054"/>
      <c r="K115" s="1053">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050"/>
      <c r="D116" s="172" t="str">
        <f>IF(Indice_index!$Z$1=1,"abril","April")</f>
        <v>abril</v>
      </c>
      <c r="E116" s="1053">
        <v>410375</v>
      </c>
      <c r="F116" s="1053">
        <v>70760</v>
      </c>
      <c r="G116" s="1053">
        <v>165317</v>
      </c>
      <c r="H116" s="1053">
        <v>646452</v>
      </c>
      <c r="I116" s="1054">
        <v>1121.3</v>
      </c>
      <c r="J116" s="1054"/>
      <c r="K116" s="1053">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050"/>
      <c r="D117" s="172" t="str">
        <f>IF(Indice_index!$Z$1=1,"maio","May")</f>
        <v>maio</v>
      </c>
      <c r="E117" s="1059">
        <v>410802</v>
      </c>
      <c r="F117" s="1059">
        <v>70571</v>
      </c>
      <c r="G117" s="1059">
        <v>165247</v>
      </c>
      <c r="H117" s="1059">
        <v>646620</v>
      </c>
      <c r="I117" s="1060">
        <v>1119.5999999999999</v>
      </c>
      <c r="J117" s="1060"/>
      <c r="K117" s="1059">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050"/>
      <c r="D118" s="172" t="str">
        <f>IF(Indice_index!$Z$1=1,"junho","June")</f>
        <v>junho</v>
      </c>
      <c r="E118" s="1053">
        <v>411240</v>
      </c>
      <c r="F118" s="1053">
        <v>70372</v>
      </c>
      <c r="G118" s="1053">
        <v>165253</v>
      </c>
      <c r="H118" s="1053">
        <v>646865</v>
      </c>
      <c r="I118" s="1054">
        <v>1119.5999999999999</v>
      </c>
      <c r="J118" s="1054"/>
      <c r="K118" s="1053">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050"/>
      <c r="D119" s="172" t="str">
        <f>IF(Indice_index!$Z$1=1,"julho","July")</f>
        <v>julho</v>
      </c>
      <c r="E119" s="1053">
        <v>411780</v>
      </c>
      <c r="F119" s="1053">
        <v>70237</v>
      </c>
      <c r="G119" s="1053">
        <v>165534</v>
      </c>
      <c r="H119" s="1053">
        <v>647551</v>
      </c>
      <c r="I119" s="1054">
        <v>2184.8000000000002</v>
      </c>
      <c r="J119" s="1054"/>
      <c r="K119" s="1053">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050"/>
      <c r="D120" s="172" t="str">
        <f>IF(Indice_index!$Z$1=1,"agosto","August")</f>
        <v>agosto</v>
      </c>
      <c r="E120" s="1053">
        <v>412314</v>
      </c>
      <c r="F120" s="1053">
        <v>70041</v>
      </c>
      <c r="G120" s="1053">
        <v>165867</v>
      </c>
      <c r="H120" s="1053">
        <v>648222</v>
      </c>
      <c r="I120" s="1054">
        <v>1124.2</v>
      </c>
      <c r="J120" s="1054"/>
      <c r="K120" s="1053">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050"/>
      <c r="D121" s="172" t="str">
        <f>IF(Indice_index!$Z$1=1,"setembro","September")</f>
        <v>setembro</v>
      </c>
      <c r="E121" s="1053">
        <v>412631</v>
      </c>
      <c r="F121" s="1053">
        <v>69806</v>
      </c>
      <c r="G121" s="1053">
        <v>165824</v>
      </c>
      <c r="H121" s="1053">
        <v>648261</v>
      </c>
      <c r="I121" s="1054">
        <v>1124.9000000000001</v>
      </c>
      <c r="J121" s="1054"/>
      <c r="K121" s="1053">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050"/>
      <c r="D122" s="172" t="str">
        <f>IF(Indice_index!$Z$1=1,"outubro","October")</f>
        <v>outubro</v>
      </c>
      <c r="E122" s="1061">
        <v>412895</v>
      </c>
      <c r="F122" s="1061">
        <v>69624</v>
      </c>
      <c r="G122" s="1061">
        <v>165869</v>
      </c>
      <c r="H122" s="1061">
        <v>648388</v>
      </c>
      <c r="I122" s="1062">
        <v>1119.8</v>
      </c>
      <c r="J122" s="1056"/>
      <c r="K122" s="1063">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050"/>
      <c r="D123" s="172" t="str">
        <f>IF(Indice_index!$Z$1=1,"novembro","November")</f>
        <v>novembro</v>
      </c>
      <c r="E123" s="1064">
        <v>413065</v>
      </c>
      <c r="F123" s="1064">
        <v>69489</v>
      </c>
      <c r="G123" s="1064">
        <v>166049</v>
      </c>
      <c r="H123" s="1064">
        <v>648603</v>
      </c>
      <c r="I123" s="1065">
        <v>2220.1999999999998</v>
      </c>
      <c r="J123" s="1065"/>
      <c r="K123" s="1064">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052"/>
      <c r="D124" s="172" t="str">
        <f>IF(Indice_index!$Z$1=1,"dezembro","December")</f>
        <v>dezembro</v>
      </c>
      <c r="E124" s="1066">
        <v>413108</v>
      </c>
      <c r="F124" s="1066">
        <v>69321</v>
      </c>
      <c r="G124" s="1066">
        <v>166218</v>
      </c>
      <c r="H124" s="1066">
        <v>648647</v>
      </c>
      <c r="I124" s="1067">
        <v>1140.3</v>
      </c>
      <c r="J124" s="1067"/>
      <c r="K124" s="1066">
        <v>416874</v>
      </c>
      <c r="M124" s="227"/>
      <c r="N124" s="227"/>
      <c r="O124" s="227"/>
      <c r="P124" s="227"/>
      <c r="Q124" s="227"/>
      <c r="R124" s="227"/>
      <c r="S124" s="227"/>
      <c r="T124" s="699"/>
      <c r="U124" s="172"/>
      <c r="V124" s="172"/>
      <c r="W124" s="172"/>
      <c r="X124" s="172"/>
      <c r="Y124" s="172"/>
      <c r="Z124" s="172"/>
      <c r="AA124" s="172"/>
      <c r="AB124" s="172"/>
      <c r="AC124" s="172"/>
      <c r="AD124" s="172"/>
      <c r="AE124" s="172"/>
      <c r="AF124" s="172"/>
      <c r="AG124" s="172"/>
      <c r="AH124" s="172"/>
    </row>
    <row r="125" spans="3:34" ht="15" customHeight="1">
      <c r="C125" s="1051"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050"/>
      <c r="D126" s="172" t="str">
        <f>IF(Indice_index!$Z$1=1,"janeiro","January")</f>
        <v>janeiro</v>
      </c>
      <c r="E126" s="1053">
        <v>413072</v>
      </c>
      <c r="F126" s="1053">
        <v>69149</v>
      </c>
      <c r="G126" s="1053">
        <v>166134</v>
      </c>
      <c r="H126" s="1053">
        <v>648355</v>
      </c>
      <c r="I126" s="1054">
        <v>1156.8</v>
      </c>
      <c r="J126" s="1054"/>
      <c r="K126" s="1053">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050"/>
      <c r="D127" s="172" t="str">
        <f>IF(Indice_index!$Z$1=1,"fevereiro","February")</f>
        <v>fevereiro</v>
      </c>
      <c r="E127" s="1053">
        <v>412612</v>
      </c>
      <c r="F127" s="1053">
        <v>68915</v>
      </c>
      <c r="G127" s="1053">
        <v>165958</v>
      </c>
      <c r="H127" s="1053">
        <v>647485</v>
      </c>
      <c r="I127" s="1054">
        <v>1128.3</v>
      </c>
      <c r="J127" s="1054"/>
      <c r="K127" s="1053">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050"/>
      <c r="D128" s="172" t="str">
        <f>IF(Indice_index!$Z$1=1,"março","March")</f>
        <v>março</v>
      </c>
      <c r="E128" s="1068">
        <v>411718</v>
      </c>
      <c r="F128" s="1068">
        <v>68662</v>
      </c>
      <c r="G128" s="1068">
        <v>165536</v>
      </c>
      <c r="H128" s="1068">
        <v>645916</v>
      </c>
      <c r="I128" s="1069">
        <v>1128.8</v>
      </c>
      <c r="J128" s="1069"/>
      <c r="K128" s="1068">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050"/>
      <c r="D129" s="172" t="str">
        <f>IF(Indice_index!$Z$1=1,"abril","April")</f>
        <v>abril</v>
      </c>
      <c r="E129" s="1053">
        <v>411435</v>
      </c>
      <c r="F129" s="1053">
        <v>68332</v>
      </c>
      <c r="G129" s="1053">
        <v>165633</v>
      </c>
      <c r="H129" s="1053">
        <v>645400</v>
      </c>
      <c r="I129" s="1054">
        <v>1133.4000000000001</v>
      </c>
      <c r="J129" s="1054"/>
      <c r="K129" s="1053">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050"/>
      <c r="D130" s="172" t="str">
        <f>IF(Indice_index!$Z$1=1,"maio","May")</f>
        <v>maio</v>
      </c>
      <c r="E130" s="1070">
        <v>411709</v>
      </c>
      <c r="F130" s="1070">
        <v>68218</v>
      </c>
      <c r="G130" s="1070">
        <v>165542</v>
      </c>
      <c r="H130" s="1070">
        <v>645469</v>
      </c>
      <c r="I130" s="1071">
        <v>1132.5</v>
      </c>
      <c r="J130" s="1071"/>
      <c r="K130" s="1070">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050"/>
      <c r="D131" s="172" t="str">
        <f>IF(Indice_index!$Z$1=1,"junho","June")</f>
        <v>junho</v>
      </c>
      <c r="E131" s="1072">
        <v>412113</v>
      </c>
      <c r="F131" s="1072">
        <v>68103</v>
      </c>
      <c r="G131" s="1072">
        <v>164864</v>
      </c>
      <c r="H131" s="1072">
        <v>645080</v>
      </c>
      <c r="I131" s="1073">
        <v>1132.2</v>
      </c>
      <c r="J131" s="1073"/>
      <c r="K131" s="1072">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050"/>
      <c r="D132" s="172" t="str">
        <f>IF(Indice_index!$Z$1=1,"julho","July")</f>
        <v>julho</v>
      </c>
      <c r="E132" s="1074">
        <v>412768</v>
      </c>
      <c r="F132" s="1074">
        <v>67998</v>
      </c>
      <c r="G132" s="1074">
        <v>165065</v>
      </c>
      <c r="H132" s="1074">
        <v>645831</v>
      </c>
      <c r="I132" s="1075">
        <v>2207.4</v>
      </c>
      <c r="J132" s="1075"/>
      <c r="K132" s="1074">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050"/>
      <c r="D133" s="172" t="str">
        <f>IF(Indice_index!$Z$1=1,"agosto","August")</f>
        <v>agosto</v>
      </c>
      <c r="E133" s="1076">
        <v>413403</v>
      </c>
      <c r="F133" s="1076">
        <v>67917</v>
      </c>
      <c r="G133" s="1076">
        <v>165331</v>
      </c>
      <c r="H133" s="1076">
        <v>646651</v>
      </c>
      <c r="I133" s="1077">
        <v>1135.3</v>
      </c>
      <c r="J133" s="1077"/>
      <c r="K133" s="1076">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050"/>
      <c r="D134" s="172" t="str">
        <f>IF(Indice_index!$Z$1=1,"setembro","September")</f>
        <v>setembro</v>
      </c>
      <c r="E134" s="1078">
        <v>413684</v>
      </c>
      <c r="F134" s="1078">
        <v>67794</v>
      </c>
      <c r="G134" s="1078">
        <v>165391</v>
      </c>
      <c r="H134" s="1078">
        <v>646869</v>
      </c>
      <c r="I134" s="1079">
        <v>1132.3</v>
      </c>
      <c r="J134" s="1079"/>
      <c r="K134" s="1078">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050"/>
      <c r="D135" s="172" t="str">
        <f>IF(Indice_index!$Z$1=1,"outubro","October")</f>
        <v>outubro</v>
      </c>
      <c r="E135" s="1061">
        <v>413984</v>
      </c>
      <c r="F135" s="1061">
        <v>67651</v>
      </c>
      <c r="G135" s="1061">
        <v>165294</v>
      </c>
      <c r="H135" s="1061">
        <v>646929</v>
      </c>
      <c r="I135" s="1062">
        <v>1133.2</v>
      </c>
      <c r="J135" s="1056"/>
      <c r="K135" s="1063">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050"/>
      <c r="D136" s="172" t="str">
        <f>IF(Indice_index!$Z$1=1,"novembro","November")</f>
        <v>novembro</v>
      </c>
      <c r="E136" s="1064">
        <v>414230</v>
      </c>
      <c r="F136" s="1064">
        <v>67525</v>
      </c>
      <c r="G136" s="1064">
        <v>165434</v>
      </c>
      <c r="H136" s="1064">
        <v>647189</v>
      </c>
      <c r="I136" s="1065">
        <v>2243</v>
      </c>
      <c r="J136" s="1065"/>
      <c r="K136" s="1064">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052"/>
      <c r="D137" s="172" t="str">
        <f>IF(Indice_index!$Z$1=1,"dezembro","December")</f>
        <v>dezembro</v>
      </c>
      <c r="E137" s="1080">
        <v>414572</v>
      </c>
      <c r="F137" s="1080">
        <v>67370</v>
      </c>
      <c r="G137" s="1080">
        <v>165541</v>
      </c>
      <c r="H137" s="1080">
        <v>647483</v>
      </c>
      <c r="I137" s="1081">
        <v>1151.7</v>
      </c>
      <c r="J137" s="1081"/>
      <c r="K137" s="1080">
        <v>402099</v>
      </c>
      <c r="M137" s="227"/>
      <c r="N137" s="227"/>
      <c r="O137" s="227"/>
      <c r="P137" s="227"/>
      <c r="Q137" s="227"/>
      <c r="R137" s="227"/>
      <c r="S137" s="227"/>
      <c r="T137" s="699"/>
      <c r="U137" s="172"/>
      <c r="V137" s="172"/>
      <c r="W137" s="172"/>
      <c r="X137" s="172"/>
      <c r="Y137" s="172"/>
      <c r="Z137" s="172"/>
      <c r="AA137" s="172"/>
      <c r="AB137" s="172"/>
      <c r="AC137" s="172"/>
      <c r="AD137" s="172"/>
      <c r="AE137" s="172"/>
      <c r="AF137" s="172"/>
      <c r="AG137" s="172"/>
      <c r="AH137" s="172"/>
    </row>
    <row r="138" spans="3:34" ht="15" customHeight="1">
      <c r="C138" s="1051" t="s">
        <v>73</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050"/>
      <c r="D139" s="172" t="str">
        <f>IF(Indice_index!$Z$1=1,"janeiro","January")</f>
        <v>janeiro</v>
      </c>
      <c r="E139" s="1082">
        <v>414962</v>
      </c>
      <c r="F139" s="1082">
        <v>67188</v>
      </c>
      <c r="G139" s="1082">
        <v>165355</v>
      </c>
      <c r="H139" s="1082">
        <v>647505</v>
      </c>
      <c r="I139" s="1083">
        <v>1175.9000000000001</v>
      </c>
      <c r="J139" s="1083"/>
      <c r="K139" s="1082">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050"/>
      <c r="D140" s="172" t="str">
        <f>IF(Indice_index!$Z$1=1,"fevereiro","February")</f>
        <v>fevereiro</v>
      </c>
      <c r="E140" s="1084">
        <v>415095</v>
      </c>
      <c r="F140" s="1084">
        <v>66947</v>
      </c>
      <c r="G140" s="1084">
        <v>165213</v>
      </c>
      <c r="H140" s="1085">
        <v>647255</v>
      </c>
      <c r="I140" s="1086">
        <v>1146.3</v>
      </c>
      <c r="J140" s="1086"/>
      <c r="K140" s="1084">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050"/>
      <c r="D141" s="172" t="str">
        <f>IF(Indice_index!$Z$1=1,"março","March")</f>
        <v>março</v>
      </c>
      <c r="E141" s="1087">
        <v>415095</v>
      </c>
      <c r="F141" s="1087">
        <v>66747</v>
      </c>
      <c r="G141" s="1087">
        <v>165126</v>
      </c>
      <c r="H141" s="1087">
        <v>646968</v>
      </c>
      <c r="I141" s="1088">
        <v>1147.5999999999999</v>
      </c>
      <c r="J141" s="1088"/>
      <c r="K141" s="1087">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050"/>
      <c r="D142" s="172" t="str">
        <f>IF(Indice_index!$Z$1=1,"abril","April")</f>
        <v>abril</v>
      </c>
      <c r="E142" s="1053">
        <v>415264</v>
      </c>
      <c r="F142" s="1053">
        <v>66550</v>
      </c>
      <c r="G142" s="1053">
        <v>165266</v>
      </c>
      <c r="H142" s="1053">
        <v>647080</v>
      </c>
      <c r="I142" s="1054">
        <v>1150.2</v>
      </c>
      <c r="J142" s="1054"/>
      <c r="K142" s="1053">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050"/>
      <c r="D143" s="172" t="str">
        <f>IF(Indice_index!$Z$1=1,"maio","May")</f>
        <v>maio</v>
      </c>
      <c r="E143" s="1070">
        <v>415728</v>
      </c>
      <c r="F143" s="1070">
        <v>66359</v>
      </c>
      <c r="G143" s="1070">
        <v>164872</v>
      </c>
      <c r="H143" s="1070">
        <v>646959</v>
      </c>
      <c r="I143" s="1071">
        <v>1139.9000000000001</v>
      </c>
      <c r="J143" s="1071"/>
      <c r="K143" s="1070">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050"/>
      <c r="D144" s="172" t="str">
        <f>IF(Indice_index!$Z$1=1,"junho","June")</f>
        <v>junho</v>
      </c>
      <c r="E144" s="1072">
        <v>416271</v>
      </c>
      <c r="F144" s="1072">
        <v>66188</v>
      </c>
      <c r="G144" s="1072">
        <v>164928</v>
      </c>
      <c r="H144" s="1072">
        <v>647387</v>
      </c>
      <c r="I144" s="1073">
        <v>1150.7</v>
      </c>
      <c r="J144" s="1073"/>
      <c r="K144" s="1072">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050"/>
      <c r="D145" s="172" t="str">
        <f>IF(Indice_index!$Z$1=1,"julho","July")</f>
        <v>julho</v>
      </c>
      <c r="E145" s="1074">
        <v>416361</v>
      </c>
      <c r="F145" s="1074">
        <v>65989</v>
      </c>
      <c r="G145" s="1074">
        <v>164878</v>
      </c>
      <c r="H145" s="1074">
        <v>647228</v>
      </c>
      <c r="I145" s="1075">
        <v>2251</v>
      </c>
      <c r="J145" s="1075"/>
      <c r="K145" s="1074">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050"/>
      <c r="D146" s="172" t="str">
        <f>IF(Indice_index!$Z$1=1,"agosto","August")</f>
        <v>agosto</v>
      </c>
      <c r="E146" s="1076">
        <v>416437</v>
      </c>
      <c r="F146" s="1076">
        <v>65794</v>
      </c>
      <c r="G146" s="1076">
        <v>164898</v>
      </c>
      <c r="H146" s="1076">
        <v>647129</v>
      </c>
      <c r="I146" s="1077">
        <v>1155.8</v>
      </c>
      <c r="J146" s="1077"/>
      <c r="K146" s="1076">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050"/>
      <c r="D147" s="172" t="str">
        <f>IF(Indice_index!$Z$1=1,"setembro","September")</f>
        <v>setembro</v>
      </c>
      <c r="E147" s="1089">
        <v>416735</v>
      </c>
      <c r="F147" s="1089">
        <v>65620</v>
      </c>
      <c r="G147" s="1089">
        <v>164979</v>
      </c>
      <c r="H147" s="1089">
        <v>647334</v>
      </c>
      <c r="I147" s="1090">
        <v>1155</v>
      </c>
      <c r="J147" s="1090"/>
      <c r="K147" s="1089">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2" customHeight="1">
      <c r="C148" s="1050"/>
      <c r="D148" s="172" t="str">
        <f>IF(Indice_index!$Z$1=1,"outubro","October")</f>
        <v>outubro</v>
      </c>
      <c r="E148" s="1061">
        <v>417089</v>
      </c>
      <c r="F148" s="1061">
        <v>65423</v>
      </c>
      <c r="G148" s="1061">
        <v>165004</v>
      </c>
      <c r="H148" s="1061">
        <v>647516</v>
      </c>
      <c r="I148" s="1062">
        <v>1155.2</v>
      </c>
      <c r="J148" s="1056"/>
      <c r="K148" s="1063">
        <v>389139</v>
      </c>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5" customHeight="1">
      <c r="C149" s="1050"/>
      <c r="D149" s="172" t="str">
        <f>IF(Indice_index!$Z$1=1,"novembro","November")</f>
        <v>novembro</v>
      </c>
      <c r="E149" s="1091">
        <v>417253</v>
      </c>
      <c r="F149" s="1091">
        <v>65276</v>
      </c>
      <c r="G149" s="1091">
        <v>165203</v>
      </c>
      <c r="H149" s="1091">
        <v>647732</v>
      </c>
      <c r="I149" s="1092">
        <v>2282.5</v>
      </c>
      <c r="J149" s="1092"/>
      <c r="K149" s="1091">
        <v>387605</v>
      </c>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customHeight="1">
      <c r="C150" s="1052"/>
      <c r="D150" s="172" t="str">
        <f>IF(Indice_index!$Z$1=1,"dezembro","December")</f>
        <v>dezembro</v>
      </c>
      <c r="E150" s="1080">
        <v>417828</v>
      </c>
      <c r="F150" s="1080">
        <v>65110</v>
      </c>
      <c r="G150" s="1080">
        <v>165419</v>
      </c>
      <c r="H150" s="1080">
        <v>648357</v>
      </c>
      <c r="I150" s="1081">
        <v>1174.5</v>
      </c>
      <c r="J150" s="1081"/>
      <c r="K150" s="1080">
        <v>386216</v>
      </c>
      <c r="M150" s="227"/>
      <c r="N150" s="227"/>
      <c r="O150" s="227"/>
      <c r="P150" s="227"/>
      <c r="Q150" s="227"/>
      <c r="R150" s="227"/>
      <c r="S150" s="227"/>
      <c r="T150" s="699"/>
      <c r="U150" s="172"/>
      <c r="V150" s="172"/>
      <c r="W150" s="172"/>
      <c r="X150" s="172"/>
      <c r="Y150" s="172"/>
      <c r="Z150" s="172"/>
      <c r="AA150" s="172"/>
      <c r="AB150" s="172"/>
      <c r="AC150" s="172"/>
      <c r="AD150" s="172"/>
      <c r="AE150" s="172"/>
      <c r="AF150" s="172"/>
      <c r="AG150" s="172"/>
      <c r="AH150" s="172"/>
    </row>
    <row r="151" spans="3:34" ht="3.6" customHeight="1">
      <c r="C151" s="1045"/>
      <c r="D151" s="1046"/>
      <c r="E151" s="1046"/>
      <c r="F151" s="1046"/>
      <c r="G151" s="1046"/>
      <c r="H151" s="1046"/>
      <c r="I151" s="1046"/>
      <c r="K151" s="1093"/>
      <c r="M151" s="227"/>
      <c r="N151" s="227"/>
      <c r="O151" s="227"/>
      <c r="P151" s="227"/>
      <c r="Q151" s="227"/>
      <c r="R151" s="227"/>
      <c r="S151" s="227"/>
      <c r="X151" s="229"/>
      <c r="Y151" s="229"/>
      <c r="Z151" s="229"/>
    </row>
    <row r="152" spans="3:34" ht="11.25">
      <c r="C152" s="1052"/>
      <c r="D152" s="171"/>
      <c r="E152" s="171"/>
      <c r="F152" s="171"/>
      <c r="G152" s="171"/>
      <c r="H152" s="171"/>
      <c r="I152" s="171"/>
      <c r="K152" s="171"/>
      <c r="M152" s="227"/>
      <c r="N152" s="227"/>
      <c r="O152" s="227"/>
      <c r="P152" s="227"/>
      <c r="Q152" s="227"/>
      <c r="R152" s="227"/>
      <c r="S152" s="227"/>
      <c r="X152" s="229"/>
      <c r="Y152" s="229"/>
      <c r="Z152" s="229"/>
    </row>
    <row r="153" spans="3:34" ht="11.25">
      <c r="C153" s="1052"/>
      <c r="D153" s="171"/>
      <c r="E153" s="171"/>
      <c r="F153" s="171"/>
      <c r="G153" s="171"/>
      <c r="H153" s="171"/>
      <c r="I153" s="171"/>
      <c r="K153" s="171"/>
      <c r="X153" s="229"/>
      <c r="Y153" s="229"/>
      <c r="Z153" s="229"/>
    </row>
    <row r="154" spans="3:34" ht="15" customHeight="1">
      <c r="C154" s="1040"/>
      <c r="D154" s="1094"/>
      <c r="E154" s="1094"/>
      <c r="F154" s="1094"/>
      <c r="G154" s="1094"/>
      <c r="H154" s="171"/>
      <c r="I154" s="171"/>
      <c r="J154" s="171"/>
      <c r="K154" s="1042" t="str">
        <f>IF(Indice_index!$Z$1=1,"Subscritores","Subscribers")</f>
        <v>Subscritores</v>
      </c>
      <c r="Q154" s="171"/>
      <c r="R154" s="171"/>
      <c r="S154" s="171"/>
      <c r="T154" s="171"/>
    </row>
    <row r="155" spans="3:34" ht="15.75" customHeight="1">
      <c r="C155" s="1095"/>
      <c r="D155" s="1096"/>
      <c r="E155" s="1802" t="str">
        <f>IF(Indice_index!$Z$1=1,"VH do número de pensionistas (%)","YOY Change Rate of the number of subscribers (%)")</f>
        <v>VH do número de pensionistas (%)</v>
      </c>
      <c r="F155" s="1797"/>
      <c r="G155" s="1797"/>
      <c r="H155" s="1803"/>
      <c r="I155" s="1799" t="str">
        <f>IF(Indice_index!$Z$1=1,"VHA Valor médio pago por pensionista","YOY Change Rate of the Average Value paid per Pensioner")</f>
        <v>VHA Valor médio pago por pensionista</v>
      </c>
      <c r="K155" s="1804" t="str">
        <f>IF(Indice_index!$Z$1=1,"VHA do Número de subscritores (%)","YOY Change Rate of the Number of Subscribers (%)")</f>
        <v>VHA do Número de subscritores (%)</v>
      </c>
      <c r="Q155" s="171"/>
      <c r="R155" s="171"/>
      <c r="S155" s="171"/>
      <c r="T155" s="171"/>
    </row>
    <row r="156" spans="3:34" ht="40.5" customHeight="1">
      <c r="C156" s="1097"/>
      <c r="D156" s="1098"/>
      <c r="E156" s="1099" t="str">
        <f>IF(Indice_index!$Z$1=1,"Velhice e Outros Motivos","Old age and other Reasons")</f>
        <v>Velhice e Outros Motivos</v>
      </c>
      <c r="F156" s="1048" t="str">
        <f>IF(Indice_index!$Z$1=1,"Invalidez","Disability")</f>
        <v>Invalidez</v>
      </c>
      <c r="G156" s="1047" t="str">
        <f>IF(Indice_index!$Z$1=1,"Sobrevivência e Outros","Survival and Others")</f>
        <v>Sobrevivência e Outros</v>
      </c>
      <c r="H156" s="1100" t="str">
        <f>IF(Indice_index!$Z$1=1,"Total de Pensionistas","Total of Pensioners")</f>
        <v>Total de Pensionistas</v>
      </c>
      <c r="I156" s="1799"/>
      <c r="K156" s="1804"/>
      <c r="Q156" s="171"/>
      <c r="R156" s="171"/>
      <c r="S156" s="171"/>
      <c r="T156" s="171"/>
    </row>
    <row r="157" spans="3:34" hidden="1">
      <c r="C157" s="1049" t="s">
        <v>10</v>
      </c>
      <c r="D157" s="631"/>
      <c r="E157" s="172"/>
      <c r="F157" s="172"/>
      <c r="G157" s="172"/>
      <c r="H157" s="172"/>
      <c r="I157" s="171"/>
      <c r="K157" s="171"/>
      <c r="Q157" s="171"/>
      <c r="R157" s="171"/>
      <c r="S157" s="171"/>
      <c r="T157" s="171"/>
    </row>
    <row r="158" spans="3:34" ht="11.25" hidden="1">
      <c r="C158" s="1049"/>
      <c r="D158" s="172" t="str">
        <f>IF(Indice_index!$Z$1=1,"janeiro","January")</f>
        <v>janeiro</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1.25" hidden="1">
      <c r="C159" s="1049"/>
      <c r="D159" s="172" t="str">
        <f>IF(Indice_index!$Z$1=1,"fevereiro","February")</f>
        <v>fevereiro</v>
      </c>
      <c r="E159" s="171">
        <v>3.3</v>
      </c>
      <c r="F159" s="171">
        <v>0.2</v>
      </c>
      <c r="G159" s="171">
        <v>1.2</v>
      </c>
      <c r="H159" s="171">
        <v>2.4</v>
      </c>
      <c r="I159" s="171">
        <v>1.6</v>
      </c>
      <c r="K159" s="171">
        <v>-4.5</v>
      </c>
      <c r="Q159" s="171"/>
      <c r="R159" s="171"/>
      <c r="S159" s="171"/>
      <c r="T159" s="171"/>
      <c r="X159" s="229"/>
      <c r="Y159" s="229"/>
      <c r="Z159" s="229"/>
    </row>
    <row r="160" spans="3:34" ht="11.25" hidden="1">
      <c r="C160" s="1049"/>
      <c r="D160" s="172" t="str">
        <f>IF(Indice_index!$Z$1=1,"março","March")</f>
        <v>março</v>
      </c>
      <c r="E160" s="171">
        <v>3.2</v>
      </c>
      <c r="F160" s="171">
        <v>0.2</v>
      </c>
      <c r="G160" s="171">
        <v>1.4</v>
      </c>
      <c r="H160" s="171">
        <v>2.4</v>
      </c>
      <c r="I160" s="171">
        <v>1.7</v>
      </c>
      <c r="K160" s="171">
        <v>-5</v>
      </c>
      <c r="Q160" s="171"/>
      <c r="R160" s="171"/>
      <c r="S160" s="171"/>
      <c r="T160" s="171"/>
      <c r="X160" s="229"/>
      <c r="Y160" s="229"/>
      <c r="Z160" s="229"/>
    </row>
    <row r="161" spans="3:26" ht="11.25" hidden="1">
      <c r="C161" s="1049"/>
      <c r="D161" s="172" t="str">
        <f>IF(Indice_index!$Z$1=1,"abril","April")</f>
        <v>abril</v>
      </c>
      <c r="E161" s="171">
        <v>3</v>
      </c>
      <c r="F161" s="171">
        <v>0.4</v>
      </c>
      <c r="G161" s="171">
        <v>1.4</v>
      </c>
      <c r="H161" s="171">
        <v>2.2999999999999998</v>
      </c>
      <c r="I161" s="171">
        <v>0.2</v>
      </c>
      <c r="K161" s="171">
        <v>-4.9000000000000004</v>
      </c>
      <c r="Q161" s="171"/>
      <c r="R161" s="171"/>
      <c r="S161" s="171"/>
      <c r="T161" s="171"/>
      <c r="X161" s="229"/>
      <c r="Y161" s="229"/>
      <c r="Z161" s="229"/>
    </row>
    <row r="162" spans="3:26" ht="11.25" hidden="1">
      <c r="C162" s="1049"/>
      <c r="D162" s="172" t="str">
        <f>IF(Indice_index!$Z$1=1,"maio","May")</f>
        <v>maio</v>
      </c>
      <c r="E162" s="171">
        <v>2.9</v>
      </c>
      <c r="F162" s="171">
        <v>0.4</v>
      </c>
      <c r="G162" s="171">
        <v>1.5</v>
      </c>
      <c r="H162" s="171">
        <v>2.2000000000000002</v>
      </c>
      <c r="I162" s="171">
        <v>0.6</v>
      </c>
      <c r="K162" s="171">
        <v>-4.9000000000000004</v>
      </c>
      <c r="Q162" s="171"/>
      <c r="R162" s="171"/>
      <c r="S162" s="171"/>
      <c r="T162" s="171"/>
      <c r="X162" s="229"/>
      <c r="Y162" s="229"/>
      <c r="Z162" s="229"/>
    </row>
    <row r="163" spans="3:26" ht="11.25" hidden="1">
      <c r="C163" s="1049"/>
      <c r="D163" s="172" t="str">
        <f>IF(Indice_index!$Z$1=1,"junho","June")</f>
        <v>junho</v>
      </c>
      <c r="E163" s="171">
        <v>2.8</v>
      </c>
      <c r="F163" s="171">
        <v>0.6</v>
      </c>
      <c r="G163" s="171">
        <v>1.6</v>
      </c>
      <c r="H163" s="171">
        <v>2.2000000000000002</v>
      </c>
      <c r="I163" s="171">
        <v>1.1000000000000001</v>
      </c>
      <c r="K163" s="171">
        <v>-4.8</v>
      </c>
      <c r="Q163" s="171"/>
      <c r="R163" s="171"/>
      <c r="S163" s="171"/>
      <c r="T163" s="171"/>
      <c r="X163" s="229"/>
      <c r="Y163" s="229"/>
      <c r="Z163" s="229"/>
    </row>
    <row r="164" spans="3:26" ht="11.25" hidden="1">
      <c r="C164" s="1049"/>
      <c r="D164" s="172" t="str">
        <f>IF(Indice_index!$Z$1=1,"julho","July")</f>
        <v>julho</v>
      </c>
      <c r="E164" s="171">
        <v>2.7</v>
      </c>
      <c r="F164" s="171">
        <v>0.6</v>
      </c>
      <c r="G164" s="171">
        <v>1.6</v>
      </c>
      <c r="H164" s="171">
        <v>2.2000000000000002</v>
      </c>
      <c r="I164" s="171">
        <v>-39.1</v>
      </c>
      <c r="K164" s="171">
        <v>-4.8</v>
      </c>
      <c r="Q164" s="171"/>
      <c r="R164" s="171"/>
      <c r="S164" s="171"/>
      <c r="T164" s="171"/>
      <c r="X164" s="229"/>
      <c r="Y164" s="229"/>
      <c r="Z164" s="229"/>
    </row>
    <row r="165" spans="3:26" ht="11.25" hidden="1">
      <c r="C165" s="1049"/>
      <c r="D165" s="172" t="str">
        <f>IF(Indice_index!$Z$1=1,"agosto","August")</f>
        <v>agosto</v>
      </c>
      <c r="E165" s="171">
        <v>2.8</v>
      </c>
      <c r="F165" s="171">
        <v>0.6</v>
      </c>
      <c r="G165" s="171">
        <v>1.7</v>
      </c>
      <c r="H165" s="171">
        <v>2.2999999999999998</v>
      </c>
      <c r="I165" s="171">
        <v>0.6</v>
      </c>
      <c r="K165" s="171">
        <v>-4.8</v>
      </c>
      <c r="Q165" s="171"/>
      <c r="R165" s="171"/>
      <c r="S165" s="171"/>
      <c r="T165" s="171"/>
      <c r="X165" s="229"/>
      <c r="Y165" s="229"/>
      <c r="Z165" s="229"/>
    </row>
    <row r="166" spans="3:26" ht="11.25" hidden="1">
      <c r="C166" s="1049"/>
      <c r="D166" s="172" t="str">
        <f>IF(Indice_index!$Z$1=1,"setembro","September")</f>
        <v>setembro</v>
      </c>
      <c r="E166" s="171">
        <v>2.9</v>
      </c>
      <c r="F166" s="171">
        <v>0.6</v>
      </c>
      <c r="G166" s="171">
        <v>1.7</v>
      </c>
      <c r="H166" s="171">
        <v>2.2999999999999998</v>
      </c>
      <c r="I166" s="171">
        <v>-0.2</v>
      </c>
      <c r="K166" s="171">
        <v>-4.9000000000000004</v>
      </c>
      <c r="Q166" s="171"/>
      <c r="R166" s="171"/>
      <c r="S166" s="171"/>
      <c r="T166" s="171"/>
      <c r="X166" s="229"/>
      <c r="Y166" s="229"/>
      <c r="Z166" s="229"/>
    </row>
    <row r="167" spans="3:26" ht="11.25" hidden="1">
      <c r="C167" s="1049"/>
      <c r="D167" s="172" t="str">
        <f>IF(Indice_index!$Z$1=1,"outubro","October")</f>
        <v>outubro</v>
      </c>
      <c r="E167" s="171">
        <v>3</v>
      </c>
      <c r="F167" s="171">
        <v>0.5</v>
      </c>
      <c r="G167" s="171">
        <v>1.8</v>
      </c>
      <c r="H167" s="171">
        <v>2.4</v>
      </c>
      <c r="I167" s="171">
        <v>0.2</v>
      </c>
      <c r="K167" s="171">
        <v>-4.9000000000000004</v>
      </c>
      <c r="Q167" s="171"/>
      <c r="R167" s="171"/>
      <c r="S167" s="171"/>
      <c r="T167" s="171"/>
      <c r="X167" s="229"/>
      <c r="Y167" s="229"/>
      <c r="Z167" s="229"/>
    </row>
    <row r="168" spans="3:26" ht="11.25" hidden="1">
      <c r="C168" s="1049"/>
      <c r="D168" s="172" t="str">
        <f>IF(Indice_index!$Z$1=1,"novembro","November")</f>
        <v>novembro</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1.25" hidden="1">
      <c r="C169" s="1049"/>
      <c r="D169" s="172" t="str">
        <f>IF(Indice_index!$Z$1=1,"dezembro","December")</f>
        <v>dezembro</v>
      </c>
      <c r="E169" s="171">
        <v>2.5</v>
      </c>
      <c r="F169" s="171">
        <v>-0.2</v>
      </c>
      <c r="G169" s="171">
        <v>1.6</v>
      </c>
      <c r="H169" s="171">
        <v>1.9</v>
      </c>
      <c r="I169" s="171">
        <v>-0.2</v>
      </c>
      <c r="K169" s="171">
        <v>-4.9000000000000004</v>
      </c>
      <c r="Q169" s="171"/>
      <c r="R169" s="171"/>
      <c r="S169" s="171"/>
      <c r="T169" s="171"/>
      <c r="X169" s="229"/>
      <c r="Y169" s="229"/>
      <c r="Z169" s="229"/>
    </row>
    <row r="170" spans="3:26" ht="11.25" hidden="1">
      <c r="C170" s="1049" t="s">
        <v>11</v>
      </c>
      <c r="D170" s="171"/>
      <c r="E170" s="171"/>
      <c r="F170" s="171"/>
      <c r="G170" s="171"/>
      <c r="H170" s="171"/>
      <c r="I170" s="171"/>
      <c r="K170" s="171"/>
      <c r="Q170" s="171"/>
      <c r="R170" s="171"/>
      <c r="S170" s="171"/>
      <c r="T170" s="171"/>
      <c r="X170" s="229"/>
      <c r="Y170" s="229"/>
      <c r="Z170" s="229"/>
    </row>
    <row r="171" spans="3:26" ht="11.25" hidden="1">
      <c r="C171" s="1049"/>
      <c r="D171" s="172" t="str">
        <f>IF(Indice_index!$Z$1=1,"janeiro","January")</f>
        <v>janeiro</v>
      </c>
      <c r="E171" s="171">
        <v>2.6</v>
      </c>
      <c r="F171" s="171">
        <v>-0.2</v>
      </c>
      <c r="G171" s="171">
        <v>1.7</v>
      </c>
      <c r="H171" s="171">
        <v>2</v>
      </c>
      <c r="I171" s="171">
        <v>0.2</v>
      </c>
      <c r="K171" s="171">
        <v>-4.9000000000000004</v>
      </c>
      <c r="Q171" s="171"/>
      <c r="R171" s="171"/>
      <c r="S171" s="171"/>
      <c r="T171" s="171"/>
      <c r="X171" s="229"/>
      <c r="Y171" s="229"/>
      <c r="Z171" s="229"/>
    </row>
    <row r="172" spans="3:26" ht="11.25" hidden="1">
      <c r="C172" s="1050"/>
      <c r="D172" s="172" t="str">
        <f>IF(Indice_index!$Z$1=1,"fevereiro","February")</f>
        <v>fevereiro</v>
      </c>
      <c r="E172" s="171">
        <v>2.4</v>
      </c>
      <c r="F172" s="171">
        <v>-0.2</v>
      </c>
      <c r="G172" s="171">
        <v>1.6</v>
      </c>
      <c r="H172" s="171">
        <v>1.9</v>
      </c>
      <c r="I172" s="171">
        <v>16.600000000000001</v>
      </c>
      <c r="K172" s="171">
        <v>-4.8</v>
      </c>
      <c r="Q172" s="171"/>
      <c r="R172" s="171"/>
      <c r="S172" s="171"/>
      <c r="T172" s="171"/>
      <c r="X172" s="229"/>
      <c r="Y172" s="229"/>
      <c r="Z172" s="229"/>
    </row>
    <row r="173" spans="3:26" ht="11.25" hidden="1">
      <c r="C173" s="1052"/>
      <c r="D173" s="172" t="str">
        <f>IF(Indice_index!$Z$1=1,"março","March")</f>
        <v>março</v>
      </c>
      <c r="E173" s="171">
        <v>2.5</v>
      </c>
      <c r="F173" s="171">
        <v>-0.3</v>
      </c>
      <c r="G173" s="171">
        <v>1.3</v>
      </c>
      <c r="H173" s="171">
        <v>1.9</v>
      </c>
      <c r="I173" s="171">
        <v>7.7</v>
      </c>
      <c r="K173" s="171">
        <v>-4.2</v>
      </c>
      <c r="X173" s="229"/>
      <c r="Y173" s="229"/>
      <c r="Z173" s="229"/>
    </row>
    <row r="174" spans="3:26" ht="11.25" hidden="1">
      <c r="C174" s="1052"/>
      <c r="D174" s="172" t="str">
        <f>IF(Indice_index!$Z$1=1,"abril","April")</f>
        <v>abril</v>
      </c>
      <c r="E174" s="171">
        <v>2.7</v>
      </c>
      <c r="F174" s="171">
        <v>-0.4</v>
      </c>
      <c r="G174" s="171">
        <v>1.3</v>
      </c>
      <c r="H174" s="171">
        <v>2</v>
      </c>
      <c r="I174" s="171">
        <v>9</v>
      </c>
      <c r="K174" s="171">
        <v>-4.3</v>
      </c>
      <c r="X174" s="229"/>
      <c r="Y174" s="229"/>
      <c r="Z174" s="229"/>
    </row>
    <row r="175" spans="3:26" ht="11.25" hidden="1">
      <c r="C175" s="1052"/>
      <c r="D175" s="172" t="str">
        <f>IF(Indice_index!$Z$1=1,"maio","May")</f>
        <v>maio</v>
      </c>
      <c r="E175" s="171">
        <v>2.7</v>
      </c>
      <c r="F175" s="171">
        <v>-0.3</v>
      </c>
      <c r="G175" s="171">
        <v>1.3</v>
      </c>
      <c r="H175" s="171">
        <v>2</v>
      </c>
      <c r="I175" s="171">
        <v>8.3000000000000007</v>
      </c>
      <c r="K175" s="171">
        <v>-4.2</v>
      </c>
      <c r="X175" s="229"/>
      <c r="Y175" s="229"/>
      <c r="Z175" s="229"/>
    </row>
    <row r="176" spans="3:26" ht="11.25" hidden="1">
      <c r="C176" s="1052"/>
      <c r="D176" s="172" t="str">
        <f>IF(Indice_index!$Z$1=1,"junho","June")</f>
        <v>junho</v>
      </c>
      <c r="E176" s="171">
        <v>2.6</v>
      </c>
      <c r="F176" s="171">
        <v>-0.1</v>
      </c>
      <c r="G176" s="171">
        <v>1.2</v>
      </c>
      <c r="H176" s="171">
        <v>1.9</v>
      </c>
      <c r="I176" s="171">
        <v>8.1999999999999993</v>
      </c>
      <c r="K176" s="171">
        <v>-4.3</v>
      </c>
      <c r="X176" s="229"/>
      <c r="Y176" s="229"/>
      <c r="Z176" s="229"/>
    </row>
    <row r="177" spans="3:26" ht="11.25" hidden="1">
      <c r="C177" s="1052"/>
      <c r="D177" s="172" t="str">
        <f>IF(Indice_index!$Z$1=1,"julho","July")</f>
        <v>julho</v>
      </c>
      <c r="E177" s="171">
        <v>2.5</v>
      </c>
      <c r="F177" s="171">
        <v>-0.2</v>
      </c>
      <c r="G177" s="171">
        <v>1.1000000000000001</v>
      </c>
      <c r="H177" s="171">
        <v>1.8</v>
      </c>
      <c r="I177" s="171">
        <v>14.7</v>
      </c>
      <c r="K177" s="171">
        <v>-4.3</v>
      </c>
      <c r="X177" s="229"/>
      <c r="Y177" s="229"/>
      <c r="Z177" s="229"/>
    </row>
    <row r="178" spans="3:26" ht="11.25" hidden="1">
      <c r="C178" s="1052"/>
      <c r="D178" s="172" t="str">
        <f>IF(Indice_index!$Z$1=1,"agosto","August")</f>
        <v>agosto</v>
      </c>
      <c r="E178" s="171">
        <v>2.2999999999999998</v>
      </c>
      <c r="F178" s="171">
        <v>-0.2</v>
      </c>
      <c r="G178" s="171">
        <v>1.1000000000000001</v>
      </c>
      <c r="H178" s="171">
        <v>1.7</v>
      </c>
      <c r="I178" s="171">
        <v>8.6</v>
      </c>
      <c r="K178" s="171">
        <v>-4.4000000000000004</v>
      </c>
      <c r="X178" s="229"/>
      <c r="Y178" s="229"/>
      <c r="Z178" s="229"/>
    </row>
    <row r="179" spans="3:26" ht="11.25" hidden="1">
      <c r="C179" s="1052"/>
      <c r="D179" s="172" t="str">
        <f>IF(Indice_index!$Z$1=1,"setembro","September")</f>
        <v>setembro</v>
      </c>
      <c r="E179" s="171">
        <v>2</v>
      </c>
      <c r="F179" s="171">
        <v>-0.3</v>
      </c>
      <c r="G179" s="171">
        <v>1</v>
      </c>
      <c r="H179" s="171">
        <v>1.5</v>
      </c>
      <c r="I179" s="171">
        <v>8.6</v>
      </c>
      <c r="K179" s="171">
        <v>-4.4000000000000004</v>
      </c>
      <c r="X179" s="229"/>
      <c r="Y179" s="229"/>
      <c r="Z179" s="229"/>
    </row>
    <row r="180" spans="3:26" ht="11.25" hidden="1">
      <c r="C180" s="1052"/>
      <c r="D180" s="172" t="str">
        <f>IF(Indice_index!$Z$1=1,"outubro","October")</f>
        <v>outubro</v>
      </c>
      <c r="E180" s="171">
        <v>1.8</v>
      </c>
      <c r="F180" s="171">
        <v>-0.4</v>
      </c>
      <c r="G180" s="171">
        <v>1.1000000000000001</v>
      </c>
      <c r="H180" s="171">
        <v>1.4</v>
      </c>
      <c r="I180" s="171">
        <v>9.8000000000000007</v>
      </c>
      <c r="K180" s="171">
        <v>-4.3</v>
      </c>
      <c r="X180" s="229"/>
      <c r="Y180" s="229"/>
      <c r="Z180" s="229"/>
    </row>
    <row r="181" spans="3:26" ht="11.25" hidden="1">
      <c r="C181" s="1052"/>
      <c r="D181" s="172" t="str">
        <f>IF(Indice_index!$Z$1=1,"novembro","November")</f>
        <v>novembro</v>
      </c>
      <c r="E181" s="171">
        <v>2</v>
      </c>
      <c r="F181" s="171">
        <v>0</v>
      </c>
      <c r="G181" s="171">
        <v>1.3</v>
      </c>
      <c r="H181" s="171">
        <v>1.6</v>
      </c>
      <c r="I181" s="171">
        <v>53.1</v>
      </c>
      <c r="K181" s="171">
        <v>-4.2</v>
      </c>
      <c r="X181" s="229"/>
      <c r="Y181" s="229"/>
      <c r="Z181" s="229"/>
    </row>
    <row r="182" spans="3:26" ht="11.25" hidden="1">
      <c r="C182" s="1052"/>
      <c r="D182" s="172" t="str">
        <f>IF(Indice_index!$Z$1=1,"dezembro","December")</f>
        <v>dezembro</v>
      </c>
      <c r="E182" s="171">
        <v>2.2000000000000002</v>
      </c>
      <c r="F182" s="171">
        <v>0</v>
      </c>
      <c r="G182" s="171">
        <v>1.4</v>
      </c>
      <c r="H182" s="171">
        <v>1.8</v>
      </c>
      <c r="I182" s="171">
        <v>8.8000000000000007</v>
      </c>
      <c r="K182" s="171">
        <v>-4.0999999999999996</v>
      </c>
      <c r="X182" s="229"/>
      <c r="Y182" s="229"/>
      <c r="Z182" s="229"/>
    </row>
    <row r="183" spans="3:26" ht="11.25" hidden="1">
      <c r="C183" s="1049" t="s">
        <v>12</v>
      </c>
      <c r="D183" s="171"/>
      <c r="E183" s="171"/>
      <c r="F183" s="171"/>
      <c r="G183" s="171"/>
      <c r="H183" s="171"/>
      <c r="I183" s="171"/>
      <c r="K183" s="171"/>
      <c r="X183" s="229"/>
      <c r="Y183" s="229"/>
      <c r="Z183" s="229"/>
    </row>
    <row r="184" spans="3:26" ht="11.25" hidden="1">
      <c r="C184" s="1052"/>
      <c r="D184" s="172" t="str">
        <f>IF(Indice_index!$Z$1=1,"janeiro","January")</f>
        <v>janeiro</v>
      </c>
      <c r="E184" s="171">
        <v>2.2000000000000002</v>
      </c>
      <c r="F184" s="171">
        <v>0.1</v>
      </c>
      <c r="G184" s="171">
        <v>1.3</v>
      </c>
      <c r="H184" s="171">
        <v>1.8</v>
      </c>
      <c r="I184" s="171">
        <v>10.1</v>
      </c>
      <c r="K184" s="171">
        <v>-4.4000000000000004</v>
      </c>
      <c r="X184" s="229"/>
      <c r="Y184" s="229"/>
      <c r="Z184" s="229"/>
    </row>
    <row r="185" spans="3:26" ht="11.25" hidden="1">
      <c r="C185" s="1052"/>
      <c r="D185" s="172" t="str">
        <f>IF(Indice_index!$Z$1=1,"fevereiro","February")</f>
        <v>fevereiro</v>
      </c>
      <c r="E185" s="171">
        <v>2.2000000000000002</v>
      </c>
      <c r="F185" s="171">
        <v>0</v>
      </c>
      <c r="G185" s="171">
        <v>1.3</v>
      </c>
      <c r="H185" s="171">
        <v>1.7</v>
      </c>
      <c r="I185" s="171">
        <v>-8</v>
      </c>
      <c r="K185" s="171">
        <v>-4.5</v>
      </c>
      <c r="X185" s="229"/>
      <c r="Y185" s="229"/>
      <c r="Z185" s="229"/>
    </row>
    <row r="186" spans="3:26" ht="11.25" hidden="1">
      <c r="C186" s="1052"/>
      <c r="D186" s="172" t="str">
        <f>IF(Indice_index!$Z$1=1,"março","March")</f>
        <v>março</v>
      </c>
      <c r="E186" s="171">
        <v>2.1</v>
      </c>
      <c r="F186" s="171">
        <v>0</v>
      </c>
      <c r="G186" s="171">
        <v>1.5</v>
      </c>
      <c r="H186" s="171">
        <v>1.7</v>
      </c>
      <c r="I186" s="171">
        <v>-0.7</v>
      </c>
      <c r="K186" s="171">
        <v>-4.5999999999999996</v>
      </c>
      <c r="X186" s="229"/>
      <c r="Y186" s="229"/>
      <c r="Z186" s="229"/>
    </row>
    <row r="187" spans="3:26" ht="11.25" hidden="1">
      <c r="C187" s="1052"/>
      <c r="D187" s="172" t="str">
        <f>IF(Indice_index!$Z$1=1,"abril","April")</f>
        <v>abril</v>
      </c>
      <c r="E187" s="171">
        <v>2</v>
      </c>
      <c r="F187" s="171">
        <v>0.1</v>
      </c>
      <c r="G187" s="171">
        <v>1.6</v>
      </c>
      <c r="H187" s="171">
        <v>1.7</v>
      </c>
      <c r="I187" s="171">
        <v>-1.2</v>
      </c>
      <c r="K187" s="171">
        <v>-4.8</v>
      </c>
      <c r="X187" s="229"/>
      <c r="Y187" s="229"/>
      <c r="Z187" s="229"/>
    </row>
    <row r="188" spans="3:26" ht="11.25" hidden="1">
      <c r="C188" s="1052"/>
      <c r="D188" s="172" t="str">
        <f>IF(Indice_index!$Z$1=1,"maio","May")</f>
        <v>maio</v>
      </c>
      <c r="E188" s="171">
        <v>1.9</v>
      </c>
      <c r="F188" s="171">
        <v>0.1</v>
      </c>
      <c r="G188" s="171">
        <v>1.6</v>
      </c>
      <c r="H188" s="171">
        <v>1.6</v>
      </c>
      <c r="I188" s="171">
        <v>-0.9</v>
      </c>
      <c r="K188" s="171">
        <v>-4.9000000000000004</v>
      </c>
      <c r="X188" s="229"/>
      <c r="Y188" s="229"/>
      <c r="Z188" s="229"/>
    </row>
    <row r="189" spans="3:26" ht="11.25" hidden="1">
      <c r="C189" s="1052"/>
      <c r="D189" s="172" t="str">
        <f>IF(Indice_index!$Z$1=1,"junho","June")</f>
        <v>junho</v>
      </c>
      <c r="E189" s="171">
        <v>2</v>
      </c>
      <c r="F189" s="171">
        <v>-0.2</v>
      </c>
      <c r="G189" s="171">
        <v>1.6</v>
      </c>
      <c r="H189" s="171">
        <v>1.6</v>
      </c>
      <c r="I189" s="171">
        <v>-0.9</v>
      </c>
      <c r="K189" s="171">
        <v>-5</v>
      </c>
      <c r="X189" s="229"/>
      <c r="Y189" s="229"/>
      <c r="Z189" s="229"/>
    </row>
    <row r="190" spans="3:26" ht="11.25" hidden="1">
      <c r="C190" s="1052"/>
      <c r="D190" s="172" t="str">
        <f>IF(Indice_index!$Z$1=1,"julho","July")</f>
        <v>julho</v>
      </c>
      <c r="E190" s="171">
        <v>2.1480540184017052</v>
      </c>
      <c r="F190" s="171">
        <v>-0.32109970013003208</v>
      </c>
      <c r="G190" s="171">
        <v>10.527022064016725</v>
      </c>
      <c r="H190" s="171">
        <v>3.7888244605378629</v>
      </c>
      <c r="I190" s="171">
        <v>48.076394613904931</v>
      </c>
      <c r="K190" s="171">
        <v>-5.1713744898311784</v>
      </c>
      <c r="X190" s="229"/>
      <c r="Y190" s="229"/>
      <c r="Z190" s="229"/>
    </row>
    <row r="191" spans="3:26" ht="11.25" hidden="1">
      <c r="C191" s="1052"/>
      <c r="D191" s="172" t="str">
        <f>IF(Indice_index!$Z$1=1,"agosto","August")</f>
        <v>agosto</v>
      </c>
      <c r="E191" s="171">
        <v>2.6</v>
      </c>
      <c r="F191" s="171">
        <v>-0.1</v>
      </c>
      <c r="G191" s="171">
        <v>10.5</v>
      </c>
      <c r="H191" s="171">
        <v>4.0999999999999996</v>
      </c>
      <c r="I191" s="171">
        <v>1.3</v>
      </c>
      <c r="K191" s="171">
        <v>-5.0999999999999996</v>
      </c>
      <c r="X191" s="229"/>
      <c r="Y191" s="229"/>
      <c r="Z191" s="229"/>
    </row>
    <row r="192" spans="3:26" ht="11.25" hidden="1">
      <c r="C192" s="1052"/>
      <c r="D192" s="172" t="str">
        <f>IF(Indice_index!$Z$1=1,"setembro","September")</f>
        <v>setembro</v>
      </c>
      <c r="E192" s="171">
        <v>3</v>
      </c>
      <c r="F192" s="171">
        <v>0.1</v>
      </c>
      <c r="G192" s="171">
        <v>10.5</v>
      </c>
      <c r="H192" s="171">
        <v>4.4000000000000004</v>
      </c>
      <c r="I192" s="171">
        <v>-2.2999999999999998</v>
      </c>
      <c r="K192" s="171">
        <v>-5</v>
      </c>
      <c r="X192" s="229"/>
      <c r="Y192" s="229"/>
      <c r="Z192" s="229"/>
    </row>
    <row r="193" spans="3:26" ht="11.25" hidden="1">
      <c r="C193" s="1052"/>
      <c r="D193" s="172" t="str">
        <f>IF(Indice_index!$Z$1=1,"outubro","October")</f>
        <v>outubro</v>
      </c>
      <c r="E193" s="171">
        <v>3.2</v>
      </c>
      <c r="F193" s="171">
        <v>0.1</v>
      </c>
      <c r="G193" s="171">
        <v>10.6</v>
      </c>
      <c r="H193" s="171">
        <v>4.5</v>
      </c>
      <c r="I193" s="171">
        <v>-3.4</v>
      </c>
      <c r="K193" s="171">
        <v>-5</v>
      </c>
      <c r="X193" s="229"/>
      <c r="Y193" s="229"/>
      <c r="Z193" s="229"/>
    </row>
    <row r="194" spans="3:26" ht="11.25" hidden="1">
      <c r="C194" s="1052"/>
      <c r="D194" s="172" t="str">
        <f>IF(Indice_index!$Z$1=1,"novembro","November")</f>
        <v>novembro</v>
      </c>
      <c r="E194" s="171">
        <v>3.1</v>
      </c>
      <c r="F194" s="171">
        <v>-0.2</v>
      </c>
      <c r="G194" s="171">
        <v>10.4</v>
      </c>
      <c r="H194" s="171">
        <v>4.4000000000000004</v>
      </c>
      <c r="I194" s="171">
        <v>-41.2</v>
      </c>
      <c r="K194" s="171">
        <v>-5</v>
      </c>
      <c r="X194" s="229"/>
      <c r="Y194" s="229"/>
      <c r="Z194" s="229"/>
    </row>
    <row r="195" spans="3:26" ht="11.25" hidden="1">
      <c r="C195" s="1052"/>
      <c r="D195" s="172" t="str">
        <f>IF(Indice_index!$Z$1=1,"dezembro","December")</f>
        <v>dezembro</v>
      </c>
      <c r="E195" s="171">
        <v>3</v>
      </c>
      <c r="F195" s="171">
        <v>-0.2</v>
      </c>
      <c r="G195" s="171">
        <v>10.199999999999999</v>
      </c>
      <c r="H195" s="171">
        <v>4.2</v>
      </c>
      <c r="I195" s="171">
        <v>0.7</v>
      </c>
      <c r="K195" s="171">
        <v>-5</v>
      </c>
      <c r="X195" s="229"/>
      <c r="Y195" s="229"/>
      <c r="Z195" s="229"/>
    </row>
    <row r="196" spans="3:26" ht="11.25" hidden="1">
      <c r="C196" s="1049" t="s">
        <v>13</v>
      </c>
      <c r="D196" s="171"/>
      <c r="E196" s="171"/>
      <c r="F196" s="171"/>
      <c r="G196" s="171"/>
      <c r="H196" s="171"/>
      <c r="I196" s="171"/>
      <c r="K196" s="171"/>
      <c r="X196" s="229"/>
      <c r="Y196" s="229"/>
      <c r="Z196" s="229"/>
    </row>
    <row r="197" spans="3:26" ht="11.25" hidden="1">
      <c r="C197" s="1052"/>
      <c r="D197" s="172" t="str">
        <f>IF(Indice_index!$Z$1=1,"janeiro","January")</f>
        <v>janeiro</v>
      </c>
      <c r="E197" s="171">
        <v>3</v>
      </c>
      <c r="F197" s="171">
        <v>-0.4</v>
      </c>
      <c r="G197" s="171">
        <v>10.1</v>
      </c>
      <c r="H197" s="171">
        <v>4.2</v>
      </c>
      <c r="I197" s="171">
        <v>-1.9</v>
      </c>
      <c r="K197" s="171">
        <v>-4.7</v>
      </c>
      <c r="M197" s="229"/>
      <c r="X197" s="229"/>
      <c r="Y197" s="229"/>
      <c r="Z197" s="229"/>
    </row>
    <row r="198" spans="3:26" ht="11.25" hidden="1">
      <c r="C198" s="1052"/>
      <c r="D198" s="172" t="str">
        <f>IF(Indice_index!$Z$1=1,"fevereiro","February")</f>
        <v>fevereiro</v>
      </c>
      <c r="E198" s="171">
        <v>3.1</v>
      </c>
      <c r="F198" s="171">
        <v>-0.5</v>
      </c>
      <c r="G198" s="171">
        <v>9.9</v>
      </c>
      <c r="H198" s="171">
        <v>4.2</v>
      </c>
      <c r="I198" s="171">
        <v>-1.2</v>
      </c>
      <c r="K198" s="171">
        <v>-4.5</v>
      </c>
      <c r="X198" s="229"/>
      <c r="Y198" s="229"/>
      <c r="Z198" s="229"/>
    </row>
    <row r="199" spans="3:26" ht="11.25" hidden="1">
      <c r="C199" s="1052"/>
      <c r="D199" s="172" t="str">
        <f>IF(Indice_index!$Z$1=1,"março","March")</f>
        <v>março</v>
      </c>
      <c r="E199" s="171">
        <v>3.1</v>
      </c>
      <c r="F199" s="171">
        <v>-0.6</v>
      </c>
      <c r="G199" s="171">
        <v>9.6999999999999993</v>
      </c>
      <c r="H199" s="171">
        <v>4.2</v>
      </c>
      <c r="I199" s="171">
        <v>-1.2</v>
      </c>
      <c r="K199" s="171">
        <v>-4.2</v>
      </c>
      <c r="X199" s="229"/>
      <c r="Y199" s="229"/>
      <c r="Z199" s="229"/>
    </row>
    <row r="200" spans="3:26" ht="11.25" hidden="1">
      <c r="C200" s="1052"/>
      <c r="D200" s="172" t="str">
        <f>IF(Indice_index!$Z$1=1,"abril","April")</f>
        <v>abril</v>
      </c>
      <c r="E200" s="171">
        <v>3</v>
      </c>
      <c r="F200" s="171">
        <v>-0.8</v>
      </c>
      <c r="G200" s="171">
        <v>9.6</v>
      </c>
      <c r="H200" s="171">
        <v>4.0999999999999996</v>
      </c>
      <c r="I200" s="171">
        <v>-1</v>
      </c>
      <c r="K200" s="171">
        <v>-4</v>
      </c>
      <c r="X200" s="229"/>
      <c r="Y200" s="229"/>
      <c r="Z200" s="229"/>
    </row>
    <row r="201" spans="3:26" ht="11.25" hidden="1">
      <c r="C201" s="1052"/>
      <c r="D201" s="172" t="str">
        <f>IF(Indice_index!$Z$1=1,"maio","May")</f>
        <v>maio</v>
      </c>
      <c r="E201" s="171">
        <v>2.9</v>
      </c>
      <c r="F201" s="171">
        <v>-0.9</v>
      </c>
      <c r="G201" s="171">
        <v>10.7</v>
      </c>
      <c r="H201" s="171">
        <v>4.3</v>
      </c>
      <c r="I201" s="171">
        <v>-1</v>
      </c>
      <c r="K201" s="171">
        <v>-3.7</v>
      </c>
      <c r="X201" s="229"/>
      <c r="Y201" s="229"/>
      <c r="Z201" s="229"/>
    </row>
    <row r="202" spans="3:26" ht="11.25" hidden="1">
      <c r="C202" s="1052"/>
      <c r="D202" s="172" t="str">
        <f>IF(Indice_index!$Z$1=1,"junho","June")</f>
        <v>junho</v>
      </c>
      <c r="E202" s="171">
        <v>2.9</v>
      </c>
      <c r="F202" s="171">
        <v>-0.8</v>
      </c>
      <c r="G202" s="171">
        <v>10.6</v>
      </c>
      <c r="H202" s="171">
        <v>4.2</v>
      </c>
      <c r="I202" s="171">
        <v>-1.3</v>
      </c>
      <c r="K202" s="171">
        <v>-3.4</v>
      </c>
      <c r="X202" s="229"/>
      <c r="Y202" s="229"/>
      <c r="Z202" s="229"/>
    </row>
    <row r="203" spans="3:26" ht="11.25" hidden="1">
      <c r="C203" s="1052"/>
      <c r="D203" s="172" t="str">
        <f>IF(Indice_index!$Z$1=1,"julho","July")</f>
        <v>julho</v>
      </c>
      <c r="E203" s="171">
        <v>2.6</v>
      </c>
      <c r="F203" s="171">
        <v>-0.8</v>
      </c>
      <c r="G203" s="171">
        <v>1.8</v>
      </c>
      <c r="H203" s="171">
        <v>2</v>
      </c>
      <c r="I203" s="171">
        <v>0.2</v>
      </c>
      <c r="K203" s="171">
        <v>-3.1</v>
      </c>
      <c r="X203" s="229"/>
      <c r="Y203" s="229"/>
      <c r="Z203" s="229"/>
    </row>
    <row r="204" spans="3:26" ht="11.25" hidden="1">
      <c r="C204" s="1052"/>
      <c r="D204" s="172" t="str">
        <f>IF(Indice_index!$Z$1=1,"agosto","August")</f>
        <v>agosto</v>
      </c>
      <c r="E204" s="171">
        <v>2.2000000000000002</v>
      </c>
      <c r="F204" s="171">
        <v>-0.9</v>
      </c>
      <c r="G204" s="171">
        <v>1.8</v>
      </c>
      <c r="H204" s="171">
        <v>1.7</v>
      </c>
      <c r="I204" s="171">
        <v>-3.6</v>
      </c>
      <c r="K204" s="171">
        <v>-3</v>
      </c>
      <c r="X204" s="229"/>
      <c r="Y204" s="229"/>
      <c r="Z204" s="229"/>
    </row>
    <row r="205" spans="3:26" ht="11.25" hidden="1">
      <c r="C205" s="1052"/>
      <c r="D205" s="172" t="str">
        <f>IF(Indice_index!$Z$1=1,"setembro","September")</f>
        <v>setembro</v>
      </c>
      <c r="E205" s="171">
        <v>1.8</v>
      </c>
      <c r="F205" s="171">
        <v>-1.1000000000000001</v>
      </c>
      <c r="G205" s="171">
        <v>1.9</v>
      </c>
      <c r="H205" s="171">
        <v>1.5</v>
      </c>
      <c r="I205" s="171">
        <v>0.1</v>
      </c>
      <c r="K205" s="171">
        <v>-2.6</v>
      </c>
      <c r="X205" s="229"/>
      <c r="Y205" s="229"/>
      <c r="Z205" s="229"/>
    </row>
    <row r="206" spans="3:26" ht="11.25" hidden="1">
      <c r="C206" s="1052"/>
      <c r="D206" s="172" t="str">
        <f>IF(Indice_index!$Z$1=1,"outubro","October")</f>
        <v>outubro</v>
      </c>
      <c r="E206" s="171">
        <v>1.5</v>
      </c>
      <c r="F206" s="171">
        <v>-1</v>
      </c>
      <c r="G206" s="171">
        <v>1.7</v>
      </c>
      <c r="H206" s="171">
        <v>1.3</v>
      </c>
      <c r="I206" s="171">
        <v>0.1</v>
      </c>
      <c r="K206" s="171">
        <v>-2.5</v>
      </c>
      <c r="X206" s="229"/>
      <c r="Y206" s="229"/>
      <c r="Z206" s="229"/>
    </row>
    <row r="207" spans="3:26" ht="11.25" hidden="1">
      <c r="C207" s="1052"/>
      <c r="D207" s="172" t="str">
        <f>IF(Indice_index!$Z$1=1,"novembro","November")</f>
        <v>novembro</v>
      </c>
      <c r="E207" s="171">
        <v>1.3</v>
      </c>
      <c r="F207" s="171">
        <v>-1</v>
      </c>
      <c r="G207" s="171">
        <v>1.7</v>
      </c>
      <c r="H207" s="171">
        <v>1.1000000000000001</v>
      </c>
      <c r="I207" s="171">
        <v>-0.4</v>
      </c>
      <c r="K207" s="171">
        <v>-2.2999999999999998</v>
      </c>
      <c r="X207" s="229"/>
      <c r="Y207" s="229"/>
      <c r="Z207" s="229"/>
    </row>
    <row r="208" spans="3:26" ht="11.25" hidden="1">
      <c r="C208" s="1052"/>
      <c r="D208" s="172" t="str">
        <f>IF(Indice_index!$Z$1=1,"dezembro","December")</f>
        <v>dezembro</v>
      </c>
      <c r="E208" s="171">
        <v>1</v>
      </c>
      <c r="F208" s="171">
        <v>-0.9</v>
      </c>
      <c r="G208" s="171">
        <v>1.7</v>
      </c>
      <c r="H208" s="171">
        <v>1</v>
      </c>
      <c r="I208" s="171">
        <v>-6.6</v>
      </c>
      <c r="K208" s="171">
        <v>-2.2999999999999998</v>
      </c>
      <c r="X208" s="229"/>
      <c r="Y208" s="229"/>
      <c r="Z208" s="229"/>
    </row>
    <row r="209" spans="3:27" ht="11.25" hidden="1">
      <c r="C209" s="1051">
        <v>2016</v>
      </c>
      <c r="D209" s="171"/>
      <c r="E209" s="171"/>
      <c r="F209" s="171"/>
      <c r="G209" s="171"/>
      <c r="H209" s="171"/>
      <c r="I209" s="171"/>
      <c r="K209" s="171"/>
      <c r="X209" s="229"/>
      <c r="Y209" s="229"/>
      <c r="Z209" s="229"/>
    </row>
    <row r="210" spans="3:27" ht="11.25" hidden="1">
      <c r="C210" s="1052"/>
      <c r="D210" s="172" t="str">
        <f>IF(Indice_index!$Z$1=1,"janeiro","January")</f>
        <v>janeiro</v>
      </c>
      <c r="E210" s="171">
        <v>0.7</v>
      </c>
      <c r="F210" s="171">
        <v>-0.9</v>
      </c>
      <c r="G210" s="171">
        <v>1.6</v>
      </c>
      <c r="H210" s="171">
        <v>0.8</v>
      </c>
      <c r="I210" s="171">
        <v>0.2</v>
      </c>
      <c r="K210" s="171">
        <v>-2.2000000000000002</v>
      </c>
      <c r="X210" s="229"/>
      <c r="Y210" s="229"/>
      <c r="Z210" s="229"/>
    </row>
    <row r="211" spans="3:27" ht="11.25" hidden="1">
      <c r="C211" s="1052"/>
      <c r="D211" s="172" t="str">
        <f>IF(Indice_index!$Z$1=1,"fevereiro","February")</f>
        <v>fevereiro</v>
      </c>
      <c r="E211" s="171">
        <v>0.5</v>
      </c>
      <c r="F211" s="171">
        <v>-0.9</v>
      </c>
      <c r="G211" s="171">
        <v>1.7</v>
      </c>
      <c r="H211" s="171">
        <v>0.6</v>
      </c>
      <c r="I211" s="171">
        <v>2.5</v>
      </c>
      <c r="K211" s="171">
        <v>-2.2000000000000002</v>
      </c>
      <c r="X211" s="229"/>
      <c r="Y211" s="229"/>
      <c r="Z211" s="229"/>
    </row>
    <row r="212" spans="3:27" ht="11.25" hidden="1">
      <c r="C212" s="1052"/>
      <c r="D212" s="172" t="str">
        <f>IF(Indice_index!$Z$1=1,"março","March")</f>
        <v>março</v>
      </c>
      <c r="E212" s="171">
        <v>0.3</v>
      </c>
      <c r="F212" s="171">
        <v>-0.8</v>
      </c>
      <c r="G212" s="171">
        <v>1.8</v>
      </c>
      <c r="H212" s="171">
        <v>0.5</v>
      </c>
      <c r="I212" s="171">
        <v>-0.3</v>
      </c>
      <c r="K212" s="171">
        <v>-2.2000000000000002</v>
      </c>
      <c r="X212" s="229"/>
      <c r="Y212" s="229"/>
      <c r="Z212" s="229"/>
    </row>
    <row r="213" spans="3:27" ht="11.25" hidden="1">
      <c r="C213" s="1052"/>
      <c r="D213" s="172" t="str">
        <f>IF(Indice_index!$Z$1=1,"abril","April")</f>
        <v>abril</v>
      </c>
      <c r="E213" s="171">
        <v>0.1</v>
      </c>
      <c r="F213" s="171">
        <v>-0.8</v>
      </c>
      <c r="G213" s="171">
        <v>1.7</v>
      </c>
      <c r="H213" s="171">
        <v>0.4</v>
      </c>
      <c r="I213" s="171">
        <v>-0.1</v>
      </c>
      <c r="K213" s="171">
        <v>-2.1</v>
      </c>
      <c r="X213" s="229"/>
      <c r="Y213" s="229"/>
      <c r="Z213" s="229"/>
    </row>
    <row r="214" spans="3:27" ht="11.25" hidden="1">
      <c r="C214" s="1052"/>
      <c r="D214" s="172" t="str">
        <f>IF(Indice_index!$Z$1=1,"maio","May")</f>
        <v>maio</v>
      </c>
      <c r="E214" s="171">
        <v>-0.1</v>
      </c>
      <c r="F214" s="171">
        <v>-0.8</v>
      </c>
      <c r="G214" s="171">
        <v>0.5</v>
      </c>
      <c r="H214" s="171">
        <v>0</v>
      </c>
      <c r="I214" s="171">
        <v>-0.3</v>
      </c>
      <c r="K214" s="171">
        <v>-2.2000000000000002</v>
      </c>
      <c r="X214" s="229"/>
      <c r="Y214" s="229"/>
      <c r="Z214" s="229"/>
    </row>
    <row r="215" spans="3:27" ht="11.25" hidden="1">
      <c r="C215" s="1052"/>
      <c r="D215" s="172" t="str">
        <f>IF(Indice_index!$Z$1=1,"junho","June")</f>
        <v>junho</v>
      </c>
      <c r="E215" s="171">
        <v>-0.3</v>
      </c>
      <c r="F215" s="171">
        <v>-0.9</v>
      </c>
      <c r="G215" s="171">
        <v>0.5</v>
      </c>
      <c r="H215" s="171">
        <v>-0.1</v>
      </c>
      <c r="I215" s="171">
        <v>1.5</v>
      </c>
      <c r="K215" s="171">
        <v>-2.2000000000000002</v>
      </c>
      <c r="X215" s="229"/>
      <c r="Y215" s="229"/>
      <c r="Z215" s="229"/>
    </row>
    <row r="216" spans="3:27" ht="11.25" hidden="1">
      <c r="C216" s="1052"/>
      <c r="D216" s="172" t="str">
        <f>IF(Indice_index!$Z$1=1,"julho","July")</f>
        <v>julho</v>
      </c>
      <c r="E216" s="171">
        <v>-0.3</v>
      </c>
      <c r="F216" s="171">
        <v>-0.9</v>
      </c>
      <c r="G216" s="171">
        <v>0.4</v>
      </c>
      <c r="H216" s="171">
        <v>-0.2</v>
      </c>
      <c r="I216" s="171">
        <v>1.3</v>
      </c>
      <c r="K216" s="171">
        <v>-2.1</v>
      </c>
      <c r="X216" s="229"/>
      <c r="Y216" s="229"/>
      <c r="Z216" s="229"/>
    </row>
    <row r="217" spans="3:27" ht="11.25" hidden="1">
      <c r="C217" s="1052"/>
      <c r="D217" s="172" t="str">
        <f>IF(Indice_index!$Z$1=1,"agosto","August")</f>
        <v>agosto</v>
      </c>
      <c r="E217" s="171">
        <v>-0.5</v>
      </c>
      <c r="F217" s="171">
        <v>-0.9</v>
      </c>
      <c r="G217" s="171">
        <v>0.3</v>
      </c>
      <c r="H217" s="171">
        <v>-0.3</v>
      </c>
      <c r="I217" s="171">
        <v>2.4</v>
      </c>
      <c r="K217" s="171">
        <v>-2.1</v>
      </c>
      <c r="X217" s="229"/>
      <c r="Y217" s="229"/>
      <c r="Z217" s="229"/>
    </row>
    <row r="218" spans="3:27" ht="11.25" hidden="1">
      <c r="C218" s="1052"/>
      <c r="D218" s="172" t="str">
        <f>IF(Indice_index!$Z$1=1,"setembro","September")</f>
        <v>setembro</v>
      </c>
      <c r="E218" s="171">
        <v>-0.6</v>
      </c>
      <c r="F218" s="171">
        <v>-0.9</v>
      </c>
      <c r="G218" s="171">
        <v>0.2</v>
      </c>
      <c r="H218" s="171">
        <v>-0.4</v>
      </c>
      <c r="I218" s="171">
        <v>1.7</v>
      </c>
      <c r="K218" s="171">
        <v>-2</v>
      </c>
      <c r="X218" s="229"/>
      <c r="Y218" s="229"/>
      <c r="Z218" s="229"/>
    </row>
    <row r="219" spans="3:27" ht="11.25" hidden="1">
      <c r="C219" s="1052"/>
      <c r="D219" s="172" t="str">
        <f>IF(Indice_index!$Z$1=1,"outubro","October")</f>
        <v>outubro</v>
      </c>
      <c r="E219" s="171">
        <v>-0.7</v>
      </c>
      <c r="F219" s="171">
        <v>-0.9</v>
      </c>
      <c r="G219" s="171">
        <v>0.2</v>
      </c>
      <c r="H219" s="171">
        <v>-0.5</v>
      </c>
      <c r="I219" s="171">
        <v>1.7</v>
      </c>
      <c r="K219" s="171">
        <v>-2</v>
      </c>
      <c r="X219" s="229"/>
      <c r="Y219" s="229"/>
      <c r="Z219" s="229"/>
    </row>
    <row r="220" spans="3:27" ht="11.25" hidden="1">
      <c r="C220" s="1052"/>
      <c r="D220" s="172" t="str">
        <f>IF(Indice_index!$Z$1=1,"novembro","November")</f>
        <v>novembro</v>
      </c>
      <c r="E220" s="171">
        <v>-0.7</v>
      </c>
      <c r="F220" s="171">
        <v>-0.9</v>
      </c>
      <c r="G220" s="171">
        <v>0.1</v>
      </c>
      <c r="H220" s="171">
        <v>-0.5</v>
      </c>
      <c r="I220" s="171">
        <v>1.9</v>
      </c>
      <c r="K220" s="171">
        <v>-2</v>
      </c>
      <c r="X220" s="229"/>
      <c r="Y220" s="229"/>
      <c r="Z220" s="229"/>
    </row>
    <row r="221" spans="3:27" ht="11.25" hidden="1">
      <c r="C221" s="1052"/>
      <c r="D221" s="172" t="str">
        <f>IF(Indice_index!$Z$1=1,"dezembro","December")</f>
        <v>dezembro</v>
      </c>
      <c r="E221" s="171">
        <v>-0.7</v>
      </c>
      <c r="F221" s="171">
        <v>-1</v>
      </c>
      <c r="G221" s="171">
        <v>0.1</v>
      </c>
      <c r="H221" s="171">
        <v>-0.6</v>
      </c>
      <c r="I221" s="171">
        <v>4.5999999999999996</v>
      </c>
      <c r="K221" s="171">
        <v>-2</v>
      </c>
      <c r="X221" s="229"/>
      <c r="Y221" s="229"/>
      <c r="Z221" s="229"/>
    </row>
    <row r="222" spans="3:27" ht="11.25" hidden="1">
      <c r="C222" s="1051">
        <v>2017</v>
      </c>
      <c r="D222" s="171"/>
      <c r="E222" s="171"/>
      <c r="F222" s="171"/>
      <c r="G222" s="171"/>
      <c r="H222" s="171"/>
      <c r="I222" s="171"/>
      <c r="K222" s="171"/>
      <c r="X222" s="229"/>
      <c r="Y222" s="229"/>
      <c r="Z222" s="229"/>
    </row>
    <row r="223" spans="3:27" s="171" customFormat="1" ht="11.25" hidden="1">
      <c r="C223" s="1101"/>
      <c r="D223" s="172" t="str">
        <f>IF(Indice_index!$Z$1=1,"janeiro","January")</f>
        <v>janeiro</v>
      </c>
      <c r="E223" s="171">
        <v>-0.7</v>
      </c>
      <c r="F223" s="171">
        <v>-1</v>
      </c>
      <c r="G223" s="171">
        <v>0.1</v>
      </c>
      <c r="H223" s="171">
        <v>-0.5</v>
      </c>
      <c r="I223" s="171">
        <v>-2</v>
      </c>
      <c r="K223" s="171">
        <v>-2.1</v>
      </c>
      <c r="M223" s="229"/>
      <c r="Q223" s="229"/>
      <c r="R223" s="229"/>
      <c r="S223" s="229"/>
      <c r="AA223" s="172"/>
    </row>
    <row r="224" spans="3:27" s="171" customFormat="1" ht="11.25" hidden="1">
      <c r="C224" s="1101"/>
      <c r="D224" s="172" t="str">
        <f>IF(Indice_index!$Z$1=1,"fevereiro","February")</f>
        <v>fevereiro</v>
      </c>
      <c r="E224" s="171">
        <v>-0.8</v>
      </c>
      <c r="F224" s="171">
        <v>-1</v>
      </c>
      <c r="G224" s="171">
        <v>0.1</v>
      </c>
      <c r="H224" s="171">
        <v>-0.6</v>
      </c>
      <c r="I224" s="171">
        <v>-4.7</v>
      </c>
      <c r="K224" s="171">
        <v>-2.1</v>
      </c>
      <c r="AA224" s="172"/>
    </row>
    <row r="225" spans="3:27" ht="11.25" hidden="1">
      <c r="C225" s="1051"/>
      <c r="D225" s="172" t="str">
        <f>IF(Indice_index!$Z$1=1,"março","March")</f>
        <v>março</v>
      </c>
      <c r="E225" s="171">
        <v>-0.9</v>
      </c>
      <c r="F225" s="171">
        <v>-1.1000000000000001</v>
      </c>
      <c r="G225" s="171">
        <v>0.1</v>
      </c>
      <c r="H225" s="171">
        <v>-0.7</v>
      </c>
      <c r="I225" s="171">
        <v>-1</v>
      </c>
      <c r="K225" s="171">
        <v>-2</v>
      </c>
      <c r="X225" s="229"/>
      <c r="Y225" s="229"/>
      <c r="Z225" s="229"/>
    </row>
    <row r="226" spans="3:27" ht="11.25" hidden="1">
      <c r="C226" s="1051"/>
      <c r="D226" s="172" t="str">
        <f>IF(Indice_index!$Z$1=1,"abril","April")</f>
        <v>abril</v>
      </c>
      <c r="E226" s="171">
        <v>-1</v>
      </c>
      <c r="F226" s="171">
        <v>-1.1000000000000001</v>
      </c>
      <c r="G226" s="171">
        <v>0.1</v>
      </c>
      <c r="H226" s="171">
        <v>-0.7</v>
      </c>
      <c r="I226" s="171">
        <v>-2</v>
      </c>
      <c r="K226" s="171">
        <v>-2</v>
      </c>
      <c r="X226" s="229"/>
      <c r="Y226" s="229"/>
      <c r="Z226" s="229"/>
    </row>
    <row r="227" spans="3:27" ht="11.25" hidden="1">
      <c r="C227" s="1051"/>
      <c r="D227" s="172" t="str">
        <f>IF(Indice_index!$Z$1=1,"maio","May")</f>
        <v>maio</v>
      </c>
      <c r="E227" s="171">
        <v>-0.9</v>
      </c>
      <c r="F227" s="171">
        <v>-1.1000000000000001</v>
      </c>
      <c r="G227" s="171">
        <v>0.1</v>
      </c>
      <c r="H227" s="171">
        <v>-0.6</v>
      </c>
      <c r="I227" s="171">
        <v>-1.8</v>
      </c>
      <c r="K227" s="171">
        <v>-2</v>
      </c>
      <c r="X227" s="229"/>
      <c r="Y227" s="229"/>
      <c r="Z227" s="229"/>
    </row>
    <row r="228" spans="3:27" ht="11.25" hidden="1">
      <c r="C228" s="1051"/>
      <c r="D228" s="172" t="str">
        <f>IF(Indice_index!$Z$1=1,"junho","June")</f>
        <v>junho</v>
      </c>
      <c r="E228" s="171">
        <v>-0.8</v>
      </c>
      <c r="F228" s="171">
        <v>-1.1000000000000001</v>
      </c>
      <c r="G228" s="171">
        <v>0.1</v>
      </c>
      <c r="H228" s="171">
        <v>-0.6</v>
      </c>
      <c r="I228" s="171">
        <v>-3.4</v>
      </c>
      <c r="K228" s="171">
        <v>-2.1</v>
      </c>
      <c r="X228" s="229"/>
      <c r="Y228" s="229"/>
      <c r="Z228" s="229"/>
    </row>
    <row r="229" spans="3:27" ht="11.25" hidden="1">
      <c r="C229" s="1051"/>
      <c r="D229" s="172" t="str">
        <f>IF(Indice_index!$Z$1=1,"julho","July")</f>
        <v>julho</v>
      </c>
      <c r="E229" s="171">
        <v>-0.5</v>
      </c>
      <c r="F229" s="171">
        <v>-1.1000000000000001</v>
      </c>
      <c r="G229" s="171">
        <v>0.1</v>
      </c>
      <c r="H229" s="171">
        <v>-0.4</v>
      </c>
      <c r="I229" s="171">
        <v>-1.5</v>
      </c>
      <c r="K229" s="171">
        <v>-2.2000000000000002</v>
      </c>
      <c r="X229" s="229"/>
      <c r="Y229" s="229"/>
      <c r="Z229" s="229"/>
    </row>
    <row r="230" spans="3:27" ht="11.25" hidden="1">
      <c r="C230" s="1051"/>
      <c r="D230" s="172" t="str">
        <f>IF(Indice_index!$Z$1=1,"agosto","August")</f>
        <v>agosto</v>
      </c>
      <c r="E230" s="171">
        <v>-0.4</v>
      </c>
      <c r="F230" s="171">
        <v>-1.2</v>
      </c>
      <c r="G230" s="171">
        <v>0.1</v>
      </c>
      <c r="H230" s="171">
        <v>-0.4</v>
      </c>
      <c r="I230" s="171">
        <v>-3.3</v>
      </c>
      <c r="K230" s="171">
        <v>-2.1</v>
      </c>
      <c r="X230" s="229"/>
      <c r="Y230" s="229"/>
      <c r="Z230" s="229"/>
    </row>
    <row r="231" spans="3:27" ht="11.25" hidden="1">
      <c r="C231" s="1051"/>
      <c r="D231" s="172" t="str">
        <f>IF(Indice_index!$Z$1=1,"setembro","September")</f>
        <v>setembro</v>
      </c>
      <c r="E231" s="171">
        <v>-0.3</v>
      </c>
      <c r="F231" s="171">
        <v>-1.2</v>
      </c>
      <c r="G231" s="171">
        <v>0.1</v>
      </c>
      <c r="H231" s="171">
        <v>-0.3</v>
      </c>
      <c r="I231" s="171">
        <v>-3</v>
      </c>
      <c r="K231" s="171">
        <v>-2.2000000000000002</v>
      </c>
      <c r="X231" s="229"/>
      <c r="Y231" s="229"/>
      <c r="Z231" s="229"/>
    </row>
    <row r="232" spans="3:27" ht="11.25" hidden="1">
      <c r="C232" s="1051"/>
      <c r="D232" s="172" t="str">
        <f>IF(Indice_index!$Z$1=1,"outubro","October")</f>
        <v>outubro</v>
      </c>
      <c r="E232" s="171">
        <v>-0.1</v>
      </c>
      <c r="F232" s="171">
        <v>-1.3</v>
      </c>
      <c r="G232" s="171">
        <v>2.2999999999999998</v>
      </c>
      <c r="H232" s="171">
        <v>0.3</v>
      </c>
      <c r="I232" s="171">
        <v>-3.6</v>
      </c>
      <c r="K232" s="171">
        <v>-2.2000000000000002</v>
      </c>
      <c r="X232" s="229"/>
      <c r="Y232" s="229"/>
      <c r="Z232" s="229"/>
    </row>
    <row r="233" spans="3:27" ht="11.25" hidden="1">
      <c r="C233" s="1052"/>
      <c r="D233" s="172" t="str">
        <f>IF(Indice_index!$Z$1=1,"novembro","November")</f>
        <v>novembro</v>
      </c>
      <c r="E233" s="171">
        <v>0</v>
      </c>
      <c r="F233" s="171">
        <v>-1.2</v>
      </c>
      <c r="G233" s="171">
        <v>2.2999999999999998</v>
      </c>
      <c r="H233" s="171">
        <v>0.5</v>
      </c>
      <c r="I233" s="171">
        <v>41.7</v>
      </c>
      <c r="J233" s="171"/>
      <c r="K233" s="171">
        <v>-2.2000000000000002</v>
      </c>
      <c r="X233" s="229"/>
      <c r="Y233" s="229"/>
      <c r="Z233" s="229"/>
    </row>
    <row r="234" spans="3:27" ht="11.25" hidden="1">
      <c r="C234" s="1052"/>
      <c r="D234" s="172" t="str">
        <f>IF(Indice_index!$Z$1=1,"dezembro","December")</f>
        <v>dezembro</v>
      </c>
      <c r="E234" s="171">
        <v>0.1</v>
      </c>
      <c r="F234" s="171">
        <v>-1.3</v>
      </c>
      <c r="G234" s="171">
        <v>2.4</v>
      </c>
      <c r="H234" s="171">
        <v>0.5</v>
      </c>
      <c r="I234" s="171">
        <v>-2.2999999999999998</v>
      </c>
      <c r="K234" s="171">
        <v>-2.1</v>
      </c>
      <c r="X234" s="229"/>
      <c r="Y234" s="229"/>
      <c r="Z234" s="229"/>
    </row>
    <row r="235" spans="3:27" ht="15" hidden="1" customHeight="1">
      <c r="C235" s="1051">
        <v>2018</v>
      </c>
      <c r="D235" s="171"/>
      <c r="E235" s="171"/>
      <c r="F235" s="171"/>
      <c r="G235" s="171"/>
      <c r="H235" s="171"/>
      <c r="I235" s="171"/>
      <c r="K235" s="171"/>
      <c r="X235" s="229"/>
      <c r="Y235" s="229"/>
      <c r="Z235" s="229"/>
    </row>
    <row r="236" spans="3:27" s="171" customFormat="1" ht="15" hidden="1" customHeight="1">
      <c r="C236" s="1101"/>
      <c r="D236" s="172" t="str">
        <f>IF(Indice_index!$Z$1=1,"janeiro","January")</f>
        <v>janeiro</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101"/>
      <c r="D237" s="172" t="str">
        <f>IF(Indice_index!$Z$1=1,"fevereiro","February")</f>
        <v>fevereiro</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051"/>
      <c r="D238" s="172" t="str">
        <f>IF(Indice_index!$Z$1=1,"março","March")</f>
        <v>março</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051"/>
      <c r="D239" s="172" t="str">
        <f>IF(Indice_index!$Z$1=1,"abril","April")</f>
        <v>abril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051"/>
      <c r="D240" s="172" t="str">
        <f>IF(Indice_index!$Z$1=1,"maio","May")</f>
        <v>maio</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051"/>
      <c r="D241" s="172" t="str">
        <f>IF(Indice_index!$Z$1=1,"junho","June")</f>
        <v>junho</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051"/>
      <c r="D242" s="172" t="str">
        <f>IF(Indice_index!$Z$1=1,"julho","July")</f>
        <v>julho</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051"/>
      <c r="D243" s="172" t="str">
        <f>IF(Indice_index!$Z$1=1,"agosto","August")</f>
        <v>agosto</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051"/>
      <c r="D244" s="172" t="str">
        <f>IF(Indice_index!$Z$1=1,"setembro","September")</f>
        <v>setembro</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051"/>
      <c r="D245" s="172" t="str">
        <f>IF(Indice_index!$Z$1=1,"outubro","October")</f>
        <v>outubro</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052"/>
      <c r="D246" s="172" t="str">
        <f>IF(Indice_index!$Z$1=1,"novembro","November")</f>
        <v>novembro</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052"/>
      <c r="D247" s="172" t="str">
        <f>IF(Indice_index!$Z$1=1,"dezembro","December")</f>
        <v>dezembro</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051">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101"/>
      <c r="D249" s="172" t="str">
        <f>IF(Indice_index!$Z$1=1,"janeiro","January")</f>
        <v>janeiro</v>
      </c>
      <c r="E249" s="1102">
        <v>-0.4</v>
      </c>
      <c r="F249" s="1102">
        <v>-1.4</v>
      </c>
      <c r="G249" s="1102">
        <v>-0.3</v>
      </c>
      <c r="H249" s="1102">
        <v>-0.5</v>
      </c>
      <c r="I249" s="1102">
        <v>2.6</v>
      </c>
      <c r="J249" s="1102"/>
      <c r="K249" s="1102">
        <v>-2.2000000000000002</v>
      </c>
      <c r="M249" s="231"/>
      <c r="N249" s="231"/>
      <c r="O249" s="231"/>
      <c r="P249" s="231"/>
      <c r="Q249" s="231"/>
      <c r="R249" s="231"/>
      <c r="S249" s="231"/>
      <c r="AA249" s="172"/>
    </row>
    <row r="250" spans="3:27" s="171" customFormat="1" ht="15" customHeight="1">
      <c r="C250" s="1101"/>
      <c r="D250" s="172" t="str">
        <f>IF(Indice_index!$Z$1=1,"fevereiro","February")</f>
        <v>fevereiro</v>
      </c>
      <c r="E250" s="1102">
        <v>-0.4</v>
      </c>
      <c r="F250" s="1102">
        <v>-1.3</v>
      </c>
      <c r="G250" s="1102">
        <v>-0.2</v>
      </c>
      <c r="H250" s="1102">
        <v>-0.4</v>
      </c>
      <c r="I250" s="1102">
        <v>1.6</v>
      </c>
      <c r="J250" s="1102"/>
      <c r="K250" s="1102">
        <v>-2.2999999999999998</v>
      </c>
      <c r="M250" s="231"/>
      <c r="N250" s="231"/>
      <c r="O250" s="231"/>
      <c r="P250" s="231"/>
      <c r="Q250" s="231"/>
      <c r="R250" s="231"/>
      <c r="S250" s="231"/>
      <c r="AA250" s="172"/>
    </row>
    <row r="251" spans="3:27" ht="15" customHeight="1">
      <c r="C251" s="1051"/>
      <c r="D251" s="172" t="str">
        <f>IF(Indice_index!$Z$1=1,"março","March")</f>
        <v>março</v>
      </c>
      <c r="E251" s="1102">
        <v>-0.5</v>
      </c>
      <c r="F251" s="1102">
        <v>-1.2</v>
      </c>
      <c r="G251" s="1102">
        <v>0</v>
      </c>
      <c r="H251" s="1102">
        <v>-0.4</v>
      </c>
      <c r="I251" s="1102">
        <v>1.7</v>
      </c>
      <c r="J251" s="1102"/>
      <c r="K251" s="1102">
        <v>-2.4</v>
      </c>
      <c r="M251" s="231"/>
      <c r="N251" s="231"/>
      <c r="O251" s="231"/>
      <c r="P251" s="231"/>
      <c r="Q251" s="231"/>
      <c r="R251" s="231"/>
      <c r="S251" s="231"/>
      <c r="X251" s="229"/>
      <c r="Y251" s="229"/>
      <c r="Z251" s="229"/>
    </row>
    <row r="252" spans="3:27" ht="15" customHeight="1">
      <c r="C252" s="1051"/>
      <c r="D252" s="172" t="str">
        <f>IF(Indice_index!$Z$1=1,"abril","April")</f>
        <v>abril</v>
      </c>
      <c r="E252" s="1102">
        <v>-0.3</v>
      </c>
      <c r="F252" s="1102">
        <v>-0.9</v>
      </c>
      <c r="G252" s="1102">
        <v>0.1</v>
      </c>
      <c r="H252" s="1102">
        <v>-0.3</v>
      </c>
      <c r="I252" s="1102">
        <v>1.4</v>
      </c>
      <c r="J252" s="1102"/>
      <c r="K252" s="1102">
        <v>-2.4</v>
      </c>
      <c r="M252" s="231"/>
      <c r="N252" s="231"/>
      <c r="O252" s="231"/>
      <c r="P252" s="231"/>
      <c r="Q252" s="231"/>
      <c r="R252" s="231"/>
      <c r="S252" s="231"/>
      <c r="X252" s="229"/>
      <c r="Y252" s="229"/>
      <c r="Z252" s="229"/>
    </row>
    <row r="253" spans="3:27" ht="15" customHeight="1">
      <c r="C253" s="1051"/>
      <c r="D253" s="172" t="str">
        <f>IF(Indice_index!$Z$1=1,"maio","May")</f>
        <v>maio</v>
      </c>
      <c r="E253" s="1102">
        <v>-0.3</v>
      </c>
      <c r="F253" s="1102">
        <v>-0.8</v>
      </c>
      <c r="G253" s="1102">
        <v>0.2</v>
      </c>
      <c r="H253" s="1102">
        <v>-0.2</v>
      </c>
      <c r="I253" s="1102">
        <v>1.5</v>
      </c>
      <c r="J253" s="1102"/>
      <c r="K253" s="1102">
        <v>-2.4</v>
      </c>
      <c r="M253" s="231"/>
      <c r="N253" s="231"/>
      <c r="O253" s="231"/>
      <c r="P253" s="231"/>
      <c r="Q253" s="231"/>
      <c r="R253" s="231"/>
      <c r="S253" s="231"/>
      <c r="X253" s="229"/>
      <c r="Y253" s="229"/>
      <c r="Z253" s="229"/>
    </row>
    <row r="254" spans="3:27" ht="15" customHeight="1">
      <c r="C254" s="1051"/>
      <c r="D254" s="172" t="str">
        <f>IF(Indice_index!$Z$1=1,"junho","June")</f>
        <v>junho</v>
      </c>
      <c r="E254" s="1102">
        <v>-0.2</v>
      </c>
      <c r="F254" s="1102">
        <v>-0.7</v>
      </c>
      <c r="G254" s="1102">
        <v>0.5</v>
      </c>
      <c r="H254" s="1102">
        <v>-0.1</v>
      </c>
      <c r="I254" s="1102">
        <v>1.5</v>
      </c>
      <c r="J254" s="1102"/>
      <c r="K254" s="1102">
        <v>-2.5</v>
      </c>
      <c r="M254" s="231"/>
      <c r="N254" s="231"/>
      <c r="O254" s="231"/>
      <c r="P254" s="231"/>
      <c r="Q254" s="231"/>
      <c r="R254" s="231"/>
      <c r="S254" s="231"/>
      <c r="X254" s="229"/>
      <c r="Y254" s="229"/>
      <c r="Z254" s="229"/>
    </row>
    <row r="255" spans="3:27" ht="15" customHeight="1">
      <c r="C255" s="1051"/>
      <c r="D255" s="172" t="str">
        <f>IF(Indice_index!$Z$1=1,"julho","July")</f>
        <v>julho</v>
      </c>
      <c r="E255" s="1102">
        <v>-0.1</v>
      </c>
      <c r="F255" s="1102">
        <v>-0.6</v>
      </c>
      <c r="G255" s="1102">
        <v>0.5</v>
      </c>
      <c r="H255" s="1102">
        <v>0</v>
      </c>
      <c r="I255" s="1102">
        <v>1.4</v>
      </c>
      <c r="J255" s="1102"/>
      <c r="K255" s="1102">
        <v>-2.5</v>
      </c>
      <c r="M255" s="231"/>
      <c r="N255" s="231"/>
      <c r="O255" s="231"/>
      <c r="P255" s="231"/>
      <c r="Q255" s="231"/>
      <c r="R255" s="231"/>
      <c r="S255" s="231"/>
      <c r="X255" s="229"/>
      <c r="Y255" s="229"/>
      <c r="Z255" s="229"/>
    </row>
    <row r="256" spans="3:27" ht="15" customHeight="1">
      <c r="C256" s="1051"/>
      <c r="D256" s="172" t="str">
        <f>IF(Indice_index!$Z$1=1,"agosto","August")</f>
        <v>agosto</v>
      </c>
      <c r="E256" s="1102">
        <v>-0.1</v>
      </c>
      <c r="F256" s="1102">
        <v>-0.6</v>
      </c>
      <c r="G256" s="1102">
        <v>0.7</v>
      </c>
      <c r="H256" s="1102">
        <v>0</v>
      </c>
      <c r="I256" s="1102">
        <v>3.2</v>
      </c>
      <c r="J256" s="1102"/>
      <c r="K256" s="1102">
        <v>-2.5</v>
      </c>
      <c r="X256" s="229"/>
      <c r="Y256" s="229"/>
      <c r="Z256" s="229"/>
    </row>
    <row r="257" spans="3:27" ht="15" customHeight="1">
      <c r="C257" s="1051"/>
      <c r="D257" s="172" t="str">
        <f>IF(Indice_index!$Z$1=1,"setembro","September")</f>
        <v>setembro</v>
      </c>
      <c r="E257" s="1102">
        <v>-0.1</v>
      </c>
      <c r="F257" s="1102">
        <v>-0.5</v>
      </c>
      <c r="G257" s="1102">
        <v>0.9</v>
      </c>
      <c r="H257" s="1102">
        <v>0.1</v>
      </c>
      <c r="I257" s="1102">
        <v>1.4</v>
      </c>
      <c r="J257" s="1102"/>
      <c r="K257" s="1102">
        <v>-2.5</v>
      </c>
      <c r="X257" s="229"/>
      <c r="Y257" s="229"/>
      <c r="Z257" s="229"/>
    </row>
    <row r="258" spans="3:27" ht="15" customHeight="1">
      <c r="C258" s="1051"/>
      <c r="D258" s="172" t="str">
        <f>IF(Indice_index!$Z$1=1,"outubro","October")</f>
        <v>outubro</v>
      </c>
      <c r="E258" s="1103">
        <v>0</v>
      </c>
      <c r="F258" s="1103">
        <v>-0.5</v>
      </c>
      <c r="G258" s="1103">
        <v>1</v>
      </c>
      <c r="H258" s="1103">
        <v>0.2</v>
      </c>
      <c r="I258" s="1103">
        <v>0.3</v>
      </c>
      <c r="J258" s="1103"/>
      <c r="K258" s="1103">
        <v>-2.6</v>
      </c>
      <c r="X258" s="229"/>
      <c r="Y258" s="229"/>
      <c r="Z258" s="229"/>
    </row>
    <row r="259" spans="3:27" ht="15" customHeight="1">
      <c r="C259" s="1052"/>
      <c r="D259" s="172" t="str">
        <f>IF(Indice_index!$Z$1=1,"novembro","November")</f>
        <v>novembro</v>
      </c>
      <c r="E259" s="1104">
        <v>0.28741768342819835</v>
      </c>
      <c r="F259" s="1104">
        <v>-0.478849644003909</v>
      </c>
      <c r="G259" s="1104">
        <v>1.0870232381139442</v>
      </c>
      <c r="H259" s="1104">
        <v>0.40484568665660392</v>
      </c>
      <c r="I259" s="1104">
        <v>2.2368481612740077</v>
      </c>
      <c r="J259" s="1104"/>
      <c r="K259" s="1104">
        <v>-2.7141471799914054</v>
      </c>
      <c r="X259" s="229"/>
      <c r="Y259" s="229"/>
      <c r="Z259" s="229"/>
    </row>
    <row r="260" spans="3:27" ht="15" customHeight="1">
      <c r="C260" s="1052"/>
      <c r="D260" s="172" t="str">
        <f>IF(Indice_index!$Z$1=1,"dezembro","December")</f>
        <v>dezembro</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051">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101"/>
      <c r="D262" s="172" t="str">
        <f>IF(Indice_index!$Z$1=1,"janeiro","January")</f>
        <v>janeiro</v>
      </c>
      <c r="E262" s="1102">
        <v>0.64890282901017782</v>
      </c>
      <c r="F262" s="1102">
        <v>-0.79712977440250177</v>
      </c>
      <c r="G262" s="1102">
        <v>1.2976038113667399</v>
      </c>
      <c r="H262" s="1102">
        <v>0.65256308473045976</v>
      </c>
      <c r="I262" s="1102">
        <v>0.13975019652370591</v>
      </c>
      <c r="J262" s="1102"/>
      <c r="K262" s="1102">
        <v>-2.830792038708132</v>
      </c>
      <c r="M262" s="231"/>
      <c r="N262" s="231"/>
      <c r="O262" s="231"/>
      <c r="P262" s="231"/>
      <c r="Q262" s="231"/>
      <c r="R262" s="231"/>
      <c r="S262" s="231"/>
      <c r="T262" s="231"/>
      <c r="U262" s="231"/>
      <c r="V262" s="231"/>
      <c r="W262" s="231"/>
      <c r="X262" s="231"/>
      <c r="Y262" s="231"/>
      <c r="AA262" s="172"/>
    </row>
    <row r="263" spans="3:27" s="171" customFormat="1" ht="15" customHeight="1">
      <c r="C263" s="1101"/>
      <c r="D263" s="172" t="str">
        <f>IF(Indice_index!$Z$1=1,"fevereiro","February")</f>
        <v>fevereiro</v>
      </c>
      <c r="E263" s="1102">
        <v>0.71713812768005814</v>
      </c>
      <c r="F263" s="1102">
        <v>-0.90320596171860801</v>
      </c>
      <c r="G263" s="1102">
        <v>1.0851679441144626</v>
      </c>
      <c r="H263" s="1102">
        <v>0.63035875012068388</v>
      </c>
      <c r="I263" s="1102">
        <v>0.47317203821089027</v>
      </c>
      <c r="J263" s="1102"/>
      <c r="K263" s="1102">
        <v>-2.9193642253336143</v>
      </c>
      <c r="M263" s="231"/>
      <c r="N263" s="231"/>
      <c r="O263" s="231"/>
      <c r="P263" s="231"/>
      <c r="Q263" s="231"/>
      <c r="R263" s="231"/>
      <c r="S263" s="231"/>
      <c r="T263" s="231"/>
      <c r="U263" s="231"/>
      <c r="V263" s="231"/>
      <c r="W263" s="231"/>
      <c r="X263" s="231"/>
      <c r="Y263" s="231"/>
      <c r="AA263" s="172"/>
    </row>
    <row r="264" spans="3:27" ht="15" customHeight="1">
      <c r="C264" s="1051"/>
      <c r="D264" s="172" t="str">
        <f>IF(Indice_index!$Z$1=1,"março","March")</f>
        <v>março</v>
      </c>
      <c r="E264" s="1102">
        <v>0.89035299211746077</v>
      </c>
      <c r="F264" s="1102">
        <v>-0.82113980359790717</v>
      </c>
      <c r="G264" s="1102">
        <v>1.0608878664774117</v>
      </c>
      <c r="H264" s="1102">
        <v>0.74305973476852272</v>
      </c>
      <c r="I264" s="1102">
        <v>1.1182252682838725</v>
      </c>
      <c r="J264" s="1102"/>
      <c r="K264" s="1102">
        <v>-2.9439334000603719</v>
      </c>
      <c r="M264" s="231"/>
      <c r="N264" s="231"/>
      <c r="O264" s="231"/>
      <c r="P264" s="231"/>
      <c r="Q264" s="231"/>
      <c r="R264" s="231"/>
      <c r="S264" s="231"/>
      <c r="T264" s="231"/>
      <c r="U264" s="231"/>
      <c r="V264" s="231"/>
      <c r="W264" s="231"/>
      <c r="X264" s="231"/>
      <c r="Y264" s="231"/>
      <c r="Z264" s="229"/>
    </row>
    <row r="265" spans="3:27" ht="15" customHeight="1">
      <c r="C265" s="1051"/>
      <c r="D265" s="172" t="str">
        <f>IF(Indice_index!$Z$1=1,"abril","April")</f>
        <v>abril</v>
      </c>
      <c r="E265" s="1102">
        <v>0.93985054875859053</v>
      </c>
      <c r="F265" s="1102">
        <v>-1.0999762393950829</v>
      </c>
      <c r="G265" s="1102">
        <v>1.1725754432347415</v>
      </c>
      <c r="H265" s="1102">
        <v>0.77162658884929436</v>
      </c>
      <c r="I265" s="1102">
        <v>0.49291987811435745</v>
      </c>
      <c r="J265" s="1102"/>
      <c r="K265" s="1102">
        <v>-2.9996565973114526</v>
      </c>
      <c r="M265" s="231"/>
      <c r="N265" s="231"/>
      <c r="O265" s="231"/>
      <c r="P265" s="231"/>
      <c r="Q265" s="231"/>
      <c r="R265" s="231"/>
      <c r="S265" s="231"/>
      <c r="T265" s="231"/>
      <c r="U265" s="231"/>
      <c r="V265" s="231"/>
      <c r="W265" s="231"/>
      <c r="X265" s="231"/>
      <c r="Y265" s="231"/>
      <c r="Z265" s="229"/>
    </row>
    <row r="266" spans="3:27" ht="15" customHeight="1">
      <c r="C266" s="1051"/>
      <c r="D266" s="172" t="str">
        <f>IF(Indice_index!$Z$1=1,"maio","May")</f>
        <v>maio</v>
      </c>
      <c r="E266" s="1105">
        <v>0.9733508339846918</v>
      </c>
      <c r="F266" s="1105">
        <v>-1.362759623179493</v>
      </c>
      <c r="G266" s="1105">
        <v>1.1885662498622218</v>
      </c>
      <c r="H266" s="1105">
        <v>0.76765561155317019</v>
      </c>
      <c r="I266" s="1105">
        <v>0.65629776139530294</v>
      </c>
      <c r="J266" s="1105"/>
      <c r="K266" s="1105">
        <v>-3.0613454149327475</v>
      </c>
      <c r="M266" s="231"/>
      <c r="N266" s="231"/>
      <c r="O266" s="231"/>
      <c r="P266" s="231"/>
      <c r="Q266" s="231"/>
      <c r="R266" s="231"/>
      <c r="S266" s="231"/>
      <c r="T266" s="231"/>
      <c r="U266" s="231"/>
      <c r="V266" s="231"/>
      <c r="W266" s="231"/>
      <c r="X266" s="231"/>
      <c r="Y266" s="231"/>
      <c r="Z266" s="229"/>
    </row>
    <row r="267" spans="3:27" ht="15" customHeight="1">
      <c r="C267" s="1051"/>
      <c r="D267" s="172" t="str">
        <f>IF(Indice_index!$Z$1=1,"junho","June")</f>
        <v>junho</v>
      </c>
      <c r="E267" s="1102">
        <v>1.1000000000000001</v>
      </c>
      <c r="F267" s="1102">
        <v>-1.6</v>
      </c>
      <c r="G267" s="1102">
        <v>1</v>
      </c>
      <c r="H267" s="1102">
        <v>0.8</v>
      </c>
      <c r="I267" s="1102">
        <v>0.6</v>
      </c>
      <c r="J267" s="1102"/>
      <c r="K267" s="1102">
        <v>-3.1</v>
      </c>
      <c r="M267" s="231"/>
      <c r="N267" s="231"/>
      <c r="O267" s="231"/>
      <c r="P267" s="231"/>
      <c r="Q267" s="231"/>
      <c r="R267" s="231"/>
      <c r="S267" s="231"/>
      <c r="T267" s="231"/>
      <c r="U267" s="231"/>
      <c r="V267" s="231"/>
      <c r="W267" s="231"/>
      <c r="X267" s="231"/>
      <c r="Y267" s="231"/>
      <c r="Z267" s="229"/>
    </row>
    <row r="268" spans="3:27" ht="15" customHeight="1">
      <c r="C268" s="1051"/>
      <c r="D268" s="172" t="str">
        <f>IF(Indice_index!$Z$1=1,"julho","July")</f>
        <v>julho</v>
      </c>
      <c r="E268" s="1102">
        <v>1.2</v>
      </c>
      <c r="F268" s="1102">
        <v>-1.8</v>
      </c>
      <c r="G268" s="1102">
        <v>1.1000000000000001</v>
      </c>
      <c r="H268" s="1102">
        <v>0.8</v>
      </c>
      <c r="I268" s="1102">
        <v>0.5</v>
      </c>
      <c r="J268" s="1102"/>
      <c r="K268" s="1102">
        <v>-3.2</v>
      </c>
      <c r="M268" s="231"/>
      <c r="N268" s="231"/>
      <c r="O268" s="231"/>
      <c r="P268" s="231"/>
      <c r="Q268" s="231"/>
      <c r="R268" s="231"/>
      <c r="S268" s="231"/>
      <c r="X268" s="229"/>
      <c r="Y268" s="229"/>
      <c r="Z268" s="229"/>
    </row>
    <row r="269" spans="3:27" ht="15" customHeight="1">
      <c r="C269" s="1051"/>
      <c r="D269" s="172" t="str">
        <f>IF(Indice_index!$Z$1=1,"agosto","August")</f>
        <v>agosto</v>
      </c>
      <c r="E269" s="1102">
        <v>1.2534073328258146</v>
      </c>
      <c r="F269" s="1102">
        <v>-1.9747522812517495</v>
      </c>
      <c r="G269" s="1102">
        <v>1.1217665384357454</v>
      </c>
      <c r="H269" s="1102">
        <v>0.86091406574564067</v>
      </c>
      <c r="I269" s="1102">
        <v>-0.76794068320240483</v>
      </c>
      <c r="J269" s="1102"/>
      <c r="K269" s="1102">
        <v>-3.2695709634565215</v>
      </c>
      <c r="X269" s="229"/>
      <c r="Y269" s="229"/>
      <c r="Z269" s="229"/>
    </row>
    <row r="270" spans="3:27" ht="15" customHeight="1">
      <c r="C270" s="1051"/>
      <c r="D270" s="172" t="str">
        <f>IF(Indice_index!$Z$1=1,"setembro","September")</f>
        <v>setembro</v>
      </c>
      <c r="E270" s="1102">
        <v>1.2688330907743317</v>
      </c>
      <c r="F270" s="1102">
        <v>-2.3009097270818755</v>
      </c>
      <c r="G270" s="1102">
        <v>0.96997521783341767</v>
      </c>
      <c r="H270" s="1102">
        <v>0.79593620071461668</v>
      </c>
      <c r="I270" s="1102">
        <v>1.0147270114942692</v>
      </c>
      <c r="J270" s="1102"/>
      <c r="K270" s="1102">
        <v>-3.4066937656284866</v>
      </c>
      <c r="X270" s="229"/>
      <c r="Y270" s="229"/>
      <c r="Z270" s="229"/>
    </row>
    <row r="271" spans="3:27" ht="15" customHeight="1">
      <c r="C271" s="1051"/>
      <c r="D271" s="172" t="str">
        <f>IF(Indice_index!$Z$1=1,"outubro","October")</f>
        <v>outubro</v>
      </c>
      <c r="E271" s="1106">
        <v>1.4</v>
      </c>
      <c r="F271" s="1106">
        <v>-2.4</v>
      </c>
      <c r="G271" s="1106">
        <v>0.9</v>
      </c>
      <c r="H271" s="1106">
        <v>0.8</v>
      </c>
      <c r="I271" s="1106">
        <v>0.7</v>
      </c>
      <c r="J271" s="1106"/>
      <c r="K271" s="1106">
        <v>-3.4</v>
      </c>
      <c r="X271" s="229"/>
      <c r="Y271" s="229"/>
      <c r="Z271" s="229"/>
    </row>
    <row r="272" spans="3:27" ht="15" customHeight="1">
      <c r="C272" s="1052"/>
      <c r="D272" s="172" t="str">
        <f>IF(Indice_index!$Z$1=1,"novembro","November")</f>
        <v>novembro</v>
      </c>
      <c r="E272" s="1107">
        <v>1.1000000000000001</v>
      </c>
      <c r="F272" s="1107">
        <v>-2.5</v>
      </c>
      <c r="G272" s="1107">
        <v>0.8</v>
      </c>
      <c r="H272" s="1107">
        <v>0.6</v>
      </c>
      <c r="I272" s="1107">
        <v>0</v>
      </c>
      <c r="J272" s="1107"/>
      <c r="K272" s="1107">
        <v>-3.3</v>
      </c>
      <c r="X272" s="229"/>
      <c r="Y272" s="229"/>
      <c r="Z272" s="229"/>
    </row>
    <row r="273" spans="3:27" ht="15" customHeight="1">
      <c r="C273" s="1052"/>
      <c r="D273" s="172" t="str">
        <f>IF(Indice_index!$Z$1=1,"dezembro","December")</f>
        <v>dezembro</v>
      </c>
      <c r="E273" s="1108">
        <v>0.8</v>
      </c>
      <c r="F273" s="1108">
        <v>-2.7</v>
      </c>
      <c r="G273" s="1108">
        <v>1</v>
      </c>
      <c r="H273" s="1108">
        <v>0.5</v>
      </c>
      <c r="I273" s="1108">
        <v>0.9</v>
      </c>
      <c r="J273" s="1108"/>
      <c r="K273" s="1108">
        <v>-3.3</v>
      </c>
      <c r="X273" s="229"/>
      <c r="Y273" s="229"/>
      <c r="Z273" s="229"/>
    </row>
    <row r="274" spans="3:27" ht="15" customHeight="1">
      <c r="C274" s="1051"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101"/>
      <c r="D275" s="172" t="str">
        <f>IF(Indice_index!$Z$1=1,"janeiro","January")</f>
        <v>janeiro</v>
      </c>
      <c r="E275" s="1102">
        <v>0.7</v>
      </c>
      <c r="F275" s="1102">
        <v>-2.7</v>
      </c>
      <c r="G275" s="1102">
        <v>0.4</v>
      </c>
      <c r="H275" s="1102">
        <v>0.3</v>
      </c>
      <c r="I275" s="1102">
        <v>0.9</v>
      </c>
      <c r="J275" s="1102"/>
      <c r="K275" s="1102">
        <v>-3.3</v>
      </c>
      <c r="M275" s="231"/>
      <c r="N275" s="231"/>
      <c r="O275" s="231"/>
      <c r="P275" s="231"/>
      <c r="Q275" s="231"/>
      <c r="R275" s="231"/>
      <c r="S275" s="231"/>
      <c r="T275" s="231"/>
      <c r="U275" s="231"/>
      <c r="V275" s="231"/>
      <c r="W275" s="231"/>
      <c r="X275" s="231"/>
      <c r="Y275" s="231"/>
      <c r="AA275" s="172"/>
    </row>
    <row r="276" spans="3:27" s="171" customFormat="1" ht="15" customHeight="1">
      <c r="C276" s="1101"/>
      <c r="D276" s="172" t="str">
        <f>IF(Indice_index!$Z$1=1,"fevereiro","February")</f>
        <v>fevereiro</v>
      </c>
      <c r="E276" s="1102">
        <v>0.6</v>
      </c>
      <c r="F276" s="1102">
        <v>-2.8</v>
      </c>
      <c r="G276" s="1102">
        <v>0.4</v>
      </c>
      <c r="H276" s="1102">
        <v>0.2</v>
      </c>
      <c r="I276" s="1102">
        <v>0.3</v>
      </c>
      <c r="J276" s="1102"/>
      <c r="K276" s="1102">
        <v>-3.2</v>
      </c>
      <c r="M276" s="231"/>
      <c r="N276" s="231"/>
      <c r="O276" s="231"/>
      <c r="P276" s="231"/>
      <c r="Q276" s="231"/>
      <c r="R276" s="231"/>
      <c r="S276" s="231"/>
      <c r="T276" s="231"/>
      <c r="U276" s="231"/>
      <c r="V276" s="231"/>
      <c r="W276" s="231"/>
      <c r="X276" s="231"/>
      <c r="Y276" s="231"/>
      <c r="AA276" s="172"/>
    </row>
    <row r="277" spans="3:27" ht="15" customHeight="1">
      <c r="C277" s="1051"/>
      <c r="D277" s="172" t="str">
        <f>IF(Indice_index!$Z$1=1,"março","March")</f>
        <v>março</v>
      </c>
      <c r="E277" s="1109">
        <v>0.39772048370223878</v>
      </c>
      <c r="F277" s="1109">
        <v>-3.1551925979209861</v>
      </c>
      <c r="G277" s="1109">
        <v>0.21430906515237735</v>
      </c>
      <c r="H277" s="1109">
        <v>-3.8999145732998231E-2</v>
      </c>
      <c r="I277" s="1109">
        <v>0.66886649424774824</v>
      </c>
      <c r="J277" s="1109"/>
      <c r="K277" s="1109">
        <v>-3.2832121226293762</v>
      </c>
      <c r="M277" s="231"/>
      <c r="N277" s="231"/>
      <c r="O277" s="231"/>
      <c r="P277" s="231"/>
      <c r="Q277" s="231"/>
      <c r="R277" s="231"/>
      <c r="S277" s="231"/>
      <c r="T277" s="231"/>
      <c r="U277" s="231"/>
      <c r="V277" s="231"/>
      <c r="W277" s="231"/>
      <c r="X277" s="231"/>
      <c r="Y277" s="231"/>
      <c r="Z277" s="229"/>
    </row>
    <row r="278" spans="3:27" ht="15" customHeight="1">
      <c r="C278" s="1051"/>
      <c r="D278" s="172" t="str">
        <f>IF(Indice_index!$Z$1=1,"abril","April")</f>
        <v>abril</v>
      </c>
      <c r="E278" s="1102">
        <v>0.25830033505939687</v>
      </c>
      <c r="F278" s="1102">
        <v>-3.4313171283210853</v>
      </c>
      <c r="G278" s="1102">
        <v>0.19114791582232923</v>
      </c>
      <c r="H278" s="1102">
        <v>-0.1627344334923552</v>
      </c>
      <c r="I278" s="1102">
        <v>1.0791046107197124</v>
      </c>
      <c r="J278" s="1102"/>
      <c r="K278" s="1102">
        <v>-3.2977982636503667</v>
      </c>
      <c r="M278" s="231"/>
      <c r="N278" s="231"/>
      <c r="O278" s="231"/>
      <c r="P278" s="231"/>
      <c r="Q278" s="231"/>
      <c r="R278" s="231"/>
      <c r="S278" s="231"/>
      <c r="T278" s="231"/>
      <c r="U278" s="231"/>
      <c r="V278" s="231"/>
      <c r="W278" s="231"/>
      <c r="X278" s="231"/>
      <c r="Y278" s="231"/>
      <c r="Z278" s="229"/>
    </row>
    <row r="279" spans="3:27" ht="15" customHeight="1">
      <c r="C279" s="1051"/>
      <c r="D279" s="172" t="str">
        <f>IF(Indice_index!$Z$1=1,"maio","May")</f>
        <v>maio</v>
      </c>
      <c r="E279" s="1110">
        <v>0.2207876300504866</v>
      </c>
      <c r="F279" s="1110">
        <v>-3.334230774680818</v>
      </c>
      <c r="G279" s="1110">
        <v>0.17852063880130956</v>
      </c>
      <c r="H279" s="1110">
        <v>-0.17800253626550369</v>
      </c>
      <c r="I279" s="1110">
        <v>1.152197213290469</v>
      </c>
      <c r="J279" s="1110"/>
      <c r="K279" s="1110">
        <v>-3.3000204532150335</v>
      </c>
      <c r="M279" s="231"/>
      <c r="N279" s="231"/>
      <c r="O279" s="231"/>
      <c r="P279" s="231"/>
      <c r="Q279" s="231"/>
      <c r="R279" s="231"/>
      <c r="S279" s="231"/>
      <c r="T279" s="231"/>
      <c r="U279" s="231"/>
      <c r="V279" s="231"/>
      <c r="W279" s="231"/>
      <c r="X279" s="231"/>
      <c r="Y279" s="231"/>
      <c r="Z279" s="229"/>
    </row>
    <row r="280" spans="3:27" ht="15" customHeight="1">
      <c r="C280" s="1051"/>
      <c r="D280" s="172" t="str">
        <f>IF(Indice_index!$Z$1=1,"junho","June")</f>
        <v>junho</v>
      </c>
      <c r="E280" s="1111">
        <v>0.21228479719871607</v>
      </c>
      <c r="F280" s="1111">
        <v>-3.2242937531972946</v>
      </c>
      <c r="G280" s="1111">
        <v>-0.23539663425172311</v>
      </c>
      <c r="H280" s="1111">
        <v>-0.27594629482194893</v>
      </c>
      <c r="I280" s="1111">
        <v>1.1254019292604625</v>
      </c>
      <c r="J280" s="1111"/>
      <c r="K280" s="1111">
        <v>-3.3272507803585407</v>
      </c>
      <c r="M280" s="231"/>
      <c r="N280" s="231"/>
      <c r="O280" s="231"/>
      <c r="P280" s="231"/>
      <c r="Q280" s="231"/>
      <c r="R280" s="231"/>
      <c r="S280" s="231"/>
      <c r="T280" s="231"/>
      <c r="U280" s="231"/>
      <c r="V280" s="231"/>
      <c r="W280" s="231"/>
      <c r="X280" s="231"/>
      <c r="Y280" s="231"/>
      <c r="Z280" s="229"/>
    </row>
    <row r="281" spans="3:27" ht="15" customHeight="1">
      <c r="C281" s="1051"/>
      <c r="D281" s="172" t="str">
        <f>IF(Indice_index!$Z$1=1,"julho","July")</f>
        <v>julho</v>
      </c>
      <c r="E281" s="1112">
        <v>0.23993394531060275</v>
      </c>
      <c r="F281" s="1112">
        <v>-3.1877785212921963</v>
      </c>
      <c r="G281" s="1112">
        <v>-0.28332547996182056</v>
      </c>
      <c r="H281" s="1112">
        <v>-0.26561614451989107</v>
      </c>
      <c r="I281" s="1112">
        <v>1.0344196265104315</v>
      </c>
      <c r="J281" s="1112"/>
      <c r="K281" s="1112">
        <v>-3.3993932357371381</v>
      </c>
      <c r="M281" s="231"/>
      <c r="N281" s="231"/>
      <c r="O281" s="231"/>
      <c r="P281" s="231"/>
      <c r="Q281" s="231"/>
      <c r="R281" s="231"/>
      <c r="S281" s="231"/>
      <c r="X281" s="229"/>
      <c r="Y281" s="229"/>
      <c r="Z281" s="229"/>
    </row>
    <row r="282" spans="3:27" ht="15" customHeight="1">
      <c r="C282" s="1051"/>
      <c r="D282" s="172" t="str">
        <f>IF(Indice_index!$Z$1=1,"agosto","August")</f>
        <v>agosto</v>
      </c>
      <c r="E282" s="1113">
        <v>0.26411909370043218</v>
      </c>
      <c r="F282" s="1113">
        <v>-3.032509530132351</v>
      </c>
      <c r="G282" s="1113">
        <v>-0.32315047598377017</v>
      </c>
      <c r="H282" s="1113">
        <v>-0.2423552424940838</v>
      </c>
      <c r="I282" s="1113">
        <v>0.98736879558796553</v>
      </c>
      <c r="J282" s="1113"/>
      <c r="K282" s="1113">
        <v>-3.4113955126699826</v>
      </c>
      <c r="X282" s="229"/>
      <c r="Y282" s="229"/>
      <c r="Z282" s="229"/>
    </row>
    <row r="283" spans="3:27" ht="15" customHeight="1">
      <c r="C283" s="1051"/>
      <c r="D283" s="172" t="str">
        <f>IF(Indice_index!$Z$1=1,"setembro","September")</f>
        <v>setembro</v>
      </c>
      <c r="E283" s="1114">
        <v>0.25519168458016966</v>
      </c>
      <c r="F283" s="1114">
        <v>-2.8822737300518582</v>
      </c>
      <c r="G283" s="1114">
        <v>-0.26112022385179467</v>
      </c>
      <c r="H283" s="1114">
        <v>-0.21472832701643321</v>
      </c>
      <c r="I283" s="1114">
        <v>0.6578362521112866</v>
      </c>
      <c r="J283" s="1114"/>
      <c r="K283" s="1114">
        <v>-3.3582285052894303</v>
      </c>
      <c r="X283" s="229"/>
      <c r="Y283" s="229"/>
      <c r="Z283" s="229"/>
    </row>
    <row r="284" spans="3:27" ht="15" customHeight="1">
      <c r="C284" s="1051"/>
      <c r="D284" s="172" t="str">
        <f>IF(Indice_index!$Z$1=1,"outubro","October")</f>
        <v>outubro</v>
      </c>
      <c r="E284" s="1106">
        <v>0.26374744184356796</v>
      </c>
      <c r="F284" s="1106">
        <v>-2.8337929449615076</v>
      </c>
      <c r="G284" s="1106">
        <v>-0.34665911050286674</v>
      </c>
      <c r="H284" s="1106">
        <v>-0.22501958703739117</v>
      </c>
      <c r="I284" s="1106">
        <v>1.1966422575459985</v>
      </c>
      <c r="J284" s="1106"/>
      <c r="K284" s="1106">
        <v>-3.3137824309350044</v>
      </c>
      <c r="X284" s="229"/>
      <c r="Y284" s="229"/>
      <c r="Z284" s="229"/>
    </row>
    <row r="285" spans="3:27" ht="15" customHeight="1">
      <c r="C285" s="1052"/>
      <c r="D285" s="172" t="str">
        <f>IF(Indice_index!$Z$1=1,"novembro","November")</f>
        <v>novembro</v>
      </c>
      <c r="E285" s="1107">
        <v>0.28203793591807585</v>
      </c>
      <c r="F285" s="1107">
        <v>-2.826346616011167</v>
      </c>
      <c r="G285" s="1107">
        <v>-0.37037260085878265</v>
      </c>
      <c r="H285" s="1107">
        <v>-0.2180070089099187</v>
      </c>
      <c r="I285" s="1107">
        <v>1.0269345104044763</v>
      </c>
      <c r="J285" s="1107"/>
      <c r="K285" s="1107">
        <v>-3.4625800216261737</v>
      </c>
      <c r="X285" s="229"/>
      <c r="Y285" s="229"/>
      <c r="Z285" s="229"/>
    </row>
    <row r="286" spans="3:27" ht="15" customHeight="1">
      <c r="C286" s="1052"/>
      <c r="D286" s="172" t="str">
        <f>IF(Indice_index!$Z$1=1,"dezembro","December")</f>
        <v>dezembro</v>
      </c>
      <c r="E286" s="1115">
        <v>0.35438674632299544</v>
      </c>
      <c r="F286" s="1115">
        <v>-2.8144429537946656</v>
      </c>
      <c r="G286" s="1115">
        <v>-0.407296442021923</v>
      </c>
      <c r="H286" s="1115">
        <v>-0.17945045610324259</v>
      </c>
      <c r="I286" s="1115">
        <v>0.99973691133912934</v>
      </c>
      <c r="J286" s="1115"/>
      <c r="K286" s="1115">
        <v>-3.5442363879733443</v>
      </c>
      <c r="X286" s="229"/>
      <c r="Y286" s="229"/>
      <c r="Z286" s="229"/>
    </row>
    <row r="287" spans="3:27" ht="15" customHeight="1">
      <c r="C287" s="1051" t="s">
        <v>73</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101"/>
      <c r="D288" s="172" t="str">
        <f>IF(Indice_index!$Z$1=1,"janeiro","January")</f>
        <v>janeiro</v>
      </c>
      <c r="E288" s="1116">
        <v>0.45754735251965756</v>
      </c>
      <c r="F288" s="1116">
        <v>-2.8359050745491619</v>
      </c>
      <c r="G288" s="1116">
        <v>-0.46889859992536143</v>
      </c>
      <c r="H288" s="1116">
        <v>-0.13110101718965692</v>
      </c>
      <c r="I288" s="1116">
        <v>1.6511065006915748</v>
      </c>
      <c r="J288" s="1116"/>
      <c r="K288" s="1116">
        <v>-3.6132175987724247</v>
      </c>
      <c r="M288" s="231"/>
      <c r="N288" s="231"/>
      <c r="O288" s="231"/>
      <c r="P288" s="231"/>
      <c r="Q288" s="231"/>
      <c r="R288" s="231"/>
      <c r="S288" s="231"/>
      <c r="T288" s="231"/>
      <c r="U288" s="231"/>
      <c r="V288" s="231"/>
      <c r="W288" s="231"/>
      <c r="X288" s="231"/>
      <c r="Y288" s="231"/>
      <c r="AA288" s="172"/>
    </row>
    <row r="289" spans="3:27" s="171" customFormat="1" ht="15" customHeight="1">
      <c r="C289" s="1101"/>
      <c r="D289" s="172" t="str">
        <f>IF(Indice_index!$Z$1=1,"fevereiro","February")</f>
        <v>fevereiro</v>
      </c>
      <c r="E289" s="1117">
        <v>0.60177600263685982</v>
      </c>
      <c r="F289" s="1117">
        <v>-2.8556917942392803</v>
      </c>
      <c r="G289" s="1117">
        <v>-0.4489087600477229</v>
      </c>
      <c r="H289" s="1117">
        <v>-3.5522058426063922E-2</v>
      </c>
      <c r="I289" s="1117">
        <v>1.5953203935123637</v>
      </c>
      <c r="J289" s="1117"/>
      <c r="K289" s="1117">
        <v>-3.6276100493983714</v>
      </c>
      <c r="M289" s="231"/>
      <c r="N289" s="231"/>
      <c r="O289" s="231"/>
      <c r="P289" s="231"/>
      <c r="Q289" s="231"/>
      <c r="R289" s="231"/>
      <c r="S289" s="231"/>
      <c r="T289" s="231"/>
      <c r="U289" s="231"/>
      <c r="V289" s="231"/>
      <c r="W289" s="231"/>
      <c r="X289" s="231"/>
      <c r="Y289" s="231"/>
      <c r="AA289" s="172"/>
    </row>
    <row r="290" spans="3:27" ht="15" customHeight="1">
      <c r="C290" s="1051"/>
      <c r="D290" s="172" t="str">
        <f>IF(Indice_index!$Z$1=1,"março","March")</f>
        <v>março</v>
      </c>
      <c r="E290" s="1118">
        <v>0.82022160799382104</v>
      </c>
      <c r="F290" s="1118">
        <v>-2.7890244968104629</v>
      </c>
      <c r="G290" s="1118">
        <v>-0.24768026290353762</v>
      </c>
      <c r="H290" s="1118">
        <v>0.16286947528780832</v>
      </c>
      <c r="I290" s="1118">
        <v>1.6654854712969485</v>
      </c>
      <c r="J290" s="1118"/>
      <c r="K290" s="1118">
        <v>-3.6502333228559682</v>
      </c>
      <c r="M290" s="231"/>
      <c r="N290" s="231"/>
      <c r="O290" s="231"/>
      <c r="P290" s="231"/>
      <c r="Q290" s="231"/>
      <c r="R290" s="231"/>
      <c r="S290" s="231"/>
      <c r="T290" s="231"/>
      <c r="U290" s="231"/>
      <c r="V290" s="231"/>
      <c r="W290" s="231"/>
      <c r="X290" s="231"/>
      <c r="Y290" s="231"/>
      <c r="Z290" s="229"/>
    </row>
    <row r="291" spans="3:27" ht="15" customHeight="1">
      <c r="C291" s="1051"/>
      <c r="D291" s="172" t="str">
        <f>IF(Indice_index!$Z$1=1,"abril","April")</f>
        <v>abril</v>
      </c>
      <c r="E291" s="1102">
        <v>0.9306451808912708</v>
      </c>
      <c r="F291" s="1102">
        <v>-2.6078557630392787</v>
      </c>
      <c r="G291" s="1102">
        <v>-0.22157420320829788</v>
      </c>
      <c r="H291" s="1102">
        <v>0.26030368763557482</v>
      </c>
      <c r="I291" s="1102">
        <v>1.4822657490735798</v>
      </c>
      <c r="J291" s="1102"/>
      <c r="K291" s="1102">
        <v>-3.7746599072397151</v>
      </c>
      <c r="M291" s="231"/>
      <c r="N291" s="231"/>
      <c r="O291" s="231"/>
      <c r="P291" s="231"/>
      <c r="Q291" s="231"/>
      <c r="R291" s="231"/>
      <c r="S291" s="231"/>
      <c r="T291" s="231"/>
      <c r="U291" s="231"/>
      <c r="V291" s="231"/>
      <c r="W291" s="231"/>
      <c r="X291" s="231"/>
      <c r="Y291" s="231"/>
      <c r="Z291" s="229"/>
    </row>
    <row r="292" spans="3:27" ht="15" customHeight="1">
      <c r="C292" s="1051"/>
      <c r="D292" s="172" t="str">
        <f>IF(Indice_index!$Z$1=1,"maio","May")</f>
        <v>maio</v>
      </c>
      <c r="E292" s="1110">
        <v>0.97617491966413161</v>
      </c>
      <c r="F292" s="1110">
        <v>-2.7250872203817176</v>
      </c>
      <c r="G292" s="1110">
        <v>-0.40473112563579033</v>
      </c>
      <c r="H292" s="1110">
        <v>0.23083990090926135</v>
      </c>
      <c r="I292" s="1110">
        <v>0.653421633554092</v>
      </c>
      <c r="J292" s="1110"/>
      <c r="K292" s="1110">
        <v>-3.8458733261370601</v>
      </c>
      <c r="M292" s="231"/>
      <c r="N292" s="231"/>
      <c r="O292" s="231"/>
      <c r="P292" s="231"/>
      <c r="Q292" s="231"/>
      <c r="R292" s="231"/>
      <c r="S292" s="231"/>
      <c r="T292" s="231"/>
      <c r="U292" s="231"/>
      <c r="V292" s="231"/>
      <c r="W292" s="231"/>
      <c r="X292" s="231"/>
      <c r="Y292" s="231"/>
      <c r="Z292" s="229"/>
    </row>
    <row r="293" spans="3:27" ht="15" customHeight="1">
      <c r="C293" s="1051"/>
      <c r="D293" s="172" t="str">
        <f>IF(Indice_index!$Z$1=1,"junho","June")</f>
        <v>junho</v>
      </c>
      <c r="E293" s="1111">
        <v>1.0089465753324938</v>
      </c>
      <c r="F293" s="1111">
        <v>-2.811917242999574</v>
      </c>
      <c r="G293" s="1111">
        <v>3.8819875776397512E-2</v>
      </c>
      <c r="H293" s="1111">
        <v>0.35763006138773484</v>
      </c>
      <c r="I293" s="1111">
        <v>1.6339869281045754</v>
      </c>
      <c r="J293" s="1111"/>
      <c r="K293" s="1111">
        <v>-3.8604954017914848</v>
      </c>
      <c r="M293" s="231"/>
      <c r="N293" s="231"/>
      <c r="O293" s="231"/>
      <c r="P293" s="231"/>
      <c r="Q293" s="231"/>
      <c r="R293" s="231"/>
      <c r="S293" s="231"/>
      <c r="T293" s="231"/>
      <c r="U293" s="231"/>
      <c r="V293" s="231"/>
      <c r="W293" s="231"/>
      <c r="X293" s="231"/>
      <c r="Y293" s="231"/>
      <c r="Z293" s="229"/>
    </row>
    <row r="294" spans="3:27" ht="15" customHeight="1">
      <c r="C294" s="1051"/>
      <c r="D294" s="172" t="str">
        <f>IF(Indice_index!$Z$1=1,"julho","July")</f>
        <v>julho</v>
      </c>
      <c r="E294" s="1112">
        <v>0.87046476471044265</v>
      </c>
      <c r="F294" s="1112">
        <v>-2.9544986617253448</v>
      </c>
      <c r="G294" s="1112">
        <v>-0.11328870444976222</v>
      </c>
      <c r="H294" s="1112">
        <v>0.21631045892810968</v>
      </c>
      <c r="I294" s="1112">
        <v>1.9751744133369533</v>
      </c>
      <c r="J294" s="1112"/>
      <c r="K294" s="1112">
        <v>-3.8019891168918276</v>
      </c>
      <c r="M294" s="231"/>
      <c r="N294" s="231"/>
      <c r="O294" s="231"/>
      <c r="P294" s="231"/>
      <c r="Q294" s="231"/>
      <c r="R294" s="231"/>
      <c r="S294" s="231"/>
      <c r="X294" s="229"/>
      <c r="Y294" s="229"/>
      <c r="Z294" s="229"/>
    </row>
    <row r="295" spans="3:27" ht="15" customHeight="1">
      <c r="C295" s="1051"/>
      <c r="D295" s="172" t="str">
        <f>IF(Indice_index!$Z$1=1,"agosto","August")</f>
        <v>agosto</v>
      </c>
      <c r="E295" s="1113">
        <v>0.73390855896062679</v>
      </c>
      <c r="F295" s="1113">
        <v>-3.1258742288381409</v>
      </c>
      <c r="G295" s="1113">
        <v>-0.26189885744355262</v>
      </c>
      <c r="H295" s="1113">
        <v>7.3919316602000157E-2</v>
      </c>
      <c r="I295" s="1113">
        <v>1.8056901259578966</v>
      </c>
      <c r="J295" s="1113"/>
      <c r="K295" s="1113">
        <v>-3.8096290566176743</v>
      </c>
      <c r="X295" s="229"/>
      <c r="Y295" s="229"/>
      <c r="Z295" s="229"/>
    </row>
    <row r="296" spans="3:27" ht="15" customHeight="1">
      <c r="C296" s="1051"/>
      <c r="D296" s="172" t="str">
        <f>IF(Indice_index!$Z$1=1,"setembro","September")</f>
        <v>setembro</v>
      </c>
      <c r="E296" s="1119">
        <v>0.73751945929743479</v>
      </c>
      <c r="F296" s="1119">
        <v>-3.2067734607782401</v>
      </c>
      <c r="G296" s="1119">
        <v>-0.2491066623939634</v>
      </c>
      <c r="H296" s="1119">
        <v>7.1884724727881544E-2</v>
      </c>
      <c r="I296" s="1119">
        <v>2.0047690541376002</v>
      </c>
      <c r="J296" s="1119"/>
      <c r="K296" s="1119">
        <v>-3.8470353111068945</v>
      </c>
      <c r="X296" s="229"/>
      <c r="Y296" s="229"/>
      <c r="Z296" s="229"/>
    </row>
    <row r="297" spans="3:27" ht="15" customHeight="1">
      <c r="C297" s="1051"/>
      <c r="D297" s="172" t="str">
        <f>IF(Indice_index!$Z$1=1,"outubro","October")</f>
        <v>outubro</v>
      </c>
      <c r="E297" s="1120">
        <v>0.7500289866275025</v>
      </c>
      <c r="F297" s="1120">
        <v>-3.2933733425965617</v>
      </c>
      <c r="G297" s="1120">
        <v>-0.17544496472951226</v>
      </c>
      <c r="H297" s="1120">
        <v>9.0736386836886271E-2</v>
      </c>
      <c r="I297" s="1120">
        <v>1.941404871161313</v>
      </c>
      <c r="J297" s="1120"/>
      <c r="K297" s="1120">
        <v>-3.8830706911030974</v>
      </c>
      <c r="X297" s="229"/>
      <c r="Y297" s="229"/>
      <c r="Z297" s="229"/>
    </row>
    <row r="298" spans="3:27" ht="15" customHeight="1">
      <c r="C298" s="1052"/>
      <c r="D298" s="172" t="str">
        <f>IF(Indice_index!$Z$1=1,"novembro","November")</f>
        <v>novembro</v>
      </c>
      <c r="E298" s="1121">
        <v>0.72978779904883762</v>
      </c>
      <c r="F298" s="1121">
        <v>-3.3306182895223988</v>
      </c>
      <c r="G298" s="1121">
        <v>-0.13963272362392254</v>
      </c>
      <c r="H298" s="1121">
        <v>8.3901302401616834E-2</v>
      </c>
      <c r="I298" s="1121">
        <v>1.761034329023629</v>
      </c>
      <c r="J298" s="1121"/>
      <c r="K298" s="1121">
        <v>-3.9483270472669236</v>
      </c>
      <c r="X298" s="229"/>
      <c r="Y298" s="229"/>
      <c r="Z298" s="229"/>
    </row>
    <row r="299" spans="3:27" ht="15" customHeight="1">
      <c r="C299" s="1052"/>
      <c r="D299" s="172" t="str">
        <f>IF(Indice_index!$Z$1=1,"dezembro","December")</f>
        <v>dezembro</v>
      </c>
      <c r="E299" s="1115">
        <v>0.78538830408228255</v>
      </c>
      <c r="F299" s="1115">
        <v>-3.3546088763544604</v>
      </c>
      <c r="G299" s="1115">
        <v>-7.3697754634803464E-2</v>
      </c>
      <c r="H299" s="1115">
        <v>0.13498423896843625</v>
      </c>
      <c r="I299" s="1115">
        <v>1.9796822089085657</v>
      </c>
      <c r="J299" s="1115"/>
      <c r="K299" s="1115">
        <v>-3.9500222582000948</v>
      </c>
      <c r="X299" s="229"/>
      <c r="Y299" s="229"/>
      <c r="Z299" s="229"/>
    </row>
    <row r="300" spans="3:27" ht="3.6" customHeight="1">
      <c r="C300" s="1045"/>
      <c r="D300" s="1046"/>
      <c r="E300" s="1046"/>
      <c r="F300" s="1046"/>
      <c r="G300" s="1046"/>
      <c r="H300" s="1046"/>
      <c r="I300" s="1046"/>
      <c r="K300" s="1093"/>
      <c r="X300" s="229"/>
      <c r="Y300" s="229"/>
      <c r="Z300" s="229"/>
    </row>
    <row r="301" spans="3:27" ht="15" customHeight="1">
      <c r="C301" s="1052"/>
      <c r="D301" s="171"/>
      <c r="E301" s="171"/>
      <c r="F301" s="171"/>
      <c r="G301" s="171"/>
      <c r="H301" s="171"/>
      <c r="I301" s="171"/>
      <c r="K301" s="171"/>
      <c r="X301" s="229"/>
      <c r="Y301" s="229"/>
      <c r="Z301" s="229"/>
    </row>
    <row r="302" spans="3:27" ht="15" customHeight="1">
      <c r="C302" s="1052"/>
      <c r="D302" s="171"/>
      <c r="E302" s="171"/>
      <c r="F302" s="171"/>
      <c r="G302" s="171"/>
      <c r="H302" s="171"/>
      <c r="I302" s="171"/>
      <c r="K302" s="171"/>
      <c r="X302" s="229"/>
      <c r="Y302" s="229"/>
      <c r="Z302" s="229"/>
    </row>
    <row r="303" spans="3:27" ht="15" customHeight="1">
      <c r="C303" s="1122" t="str">
        <f>IF(Indice_index!$Z$1=1,"Pensionistas de Aposentação/Reforma - Novos e Abatidos","Retirement Pensioners - New and extinct")</f>
        <v>Pensionistas de Aposentação/Reforma - Novos e Abatidos</v>
      </c>
      <c r="D303" s="1094"/>
      <c r="E303" s="171"/>
      <c r="F303" s="1094"/>
      <c r="G303" s="1094"/>
      <c r="H303" s="171"/>
      <c r="I303" s="171"/>
      <c r="J303" s="171"/>
      <c r="K303" s="171"/>
      <c r="O303" s="85"/>
      <c r="P303" s="229"/>
    </row>
    <row r="304" spans="3:27" ht="11.25" customHeight="1">
      <c r="C304" s="1043"/>
      <c r="D304" s="1123"/>
      <c r="E304" s="1797" t="str">
        <f>IF(Indice_index!$Z$1=1,"Número","Number")</f>
        <v>Número</v>
      </c>
      <c r="F304" s="1797"/>
      <c r="G304" s="1797"/>
      <c r="H304" s="1797"/>
      <c r="I304" s="1797"/>
      <c r="J304" s="1767" t="str">
        <f>IF(Indice_index!$Z$1=1,"Despesa com pensões (€)","Expense with Pensions")</f>
        <v>Despesa com pensões (€)</v>
      </c>
      <c r="K304" s="1767"/>
      <c r="L304" s="1767"/>
      <c r="M304" s="1767"/>
      <c r="N304" s="1767"/>
      <c r="O304" s="1798" t="str">
        <f>IF(Indice_index!$Z$1=1,"Pensão média nova Aposentação/Reforma (€)"," Average Value paid per new Retirment Pensioner")</f>
        <v>Pensão média nova Aposentação/Reforma (€)</v>
      </c>
      <c r="P304" s="1799" t="str">
        <f>IF(Indice_index!$Z$1=1,"Pensão média nova Sobrevivência e Outras (€)"," Average Value paid per new Survival and Others Pensioner")</f>
        <v>Pensão média nova Sobrevivência e Outras (€)</v>
      </c>
    </row>
    <row r="305" spans="3:20" ht="11.25" customHeight="1">
      <c r="C305" s="1122"/>
      <c r="D305" s="1124"/>
      <c r="E305" s="1797" t="str">
        <f>IF(Indice_index!$Z$1=1,"Novos","New")</f>
        <v>Novos</v>
      </c>
      <c r="F305" s="1797"/>
      <c r="G305" s="1797"/>
      <c r="H305" s="1797"/>
      <c r="I305" s="1798" t="str">
        <f>IF(Indice_index!$Z$1=1,"Abonos abatidos de Aposentação /Reforma","Allowances deducted from Retirement / Pension")</f>
        <v>Abonos abatidos de Aposentação /Reforma</v>
      </c>
      <c r="J305" s="1767" t="str">
        <f>IF(Indice_index!$Z$1=1,"Novos","New")</f>
        <v>Novos</v>
      </c>
      <c r="K305" s="1767"/>
      <c r="L305" s="1767"/>
      <c r="M305" s="1767"/>
      <c r="N305" s="1798" t="str">
        <f>IF(Indice_index!$Z$1=1,"Abonos abatidos de Aposentação /Reforma","Allowances deducted from Retirement / Pension")</f>
        <v>Abonos abatidos de Aposentação /Reforma</v>
      </c>
      <c r="O305" s="1798"/>
      <c r="P305" s="1799"/>
      <c r="R305" s="96"/>
      <c r="S305" s="96"/>
      <c r="T305" s="96"/>
    </row>
    <row r="306" spans="3:20" ht="44.25" customHeight="1">
      <c r="C306" s="1045"/>
      <c r="D306" s="1125"/>
      <c r="E306" s="1047" t="str">
        <f>IF(Indice_index!$Z$1=1,"Velhice e Outros Motivos","Old age and other Reasons")</f>
        <v>Velhice e Outros Motivos</v>
      </c>
      <c r="F306" s="1048" t="str">
        <f>IF(Indice_index!$Z$1=1,"Invalidez","Disability")</f>
        <v>Invalidez</v>
      </c>
      <c r="G306" s="1047" t="str">
        <f>IF(Indice_index!$Z$1=1,"Sobrevivência e Outros","Survival and Others")</f>
        <v>Sobrevivência e Outros</v>
      </c>
      <c r="H306" s="1047" t="str">
        <f>IF(Indice_index!$Z$1=1,"Total de Pensionistas","Total of Pensioners")</f>
        <v>Total de Pensionistas</v>
      </c>
      <c r="I306" s="1798"/>
      <c r="J306" s="1047" t="str">
        <f>IF(Indice_index!$Z$1=1,"Velhice e Outros Motivos","Old age and other Reasons")</f>
        <v>Velhice e Outros Motivos</v>
      </c>
      <c r="K306" s="1048" t="str">
        <f>IF(Indice_index!$Z$1=1,"Invalidez","Disability")</f>
        <v>Invalidez</v>
      </c>
      <c r="L306" s="1047" t="str">
        <f>IF(Indice_index!$Z$1=1,"Sobrevivência e Outros","Survival and Others")</f>
        <v>Sobrevivência e Outros</v>
      </c>
      <c r="M306" s="1047" t="str">
        <f>IF(Indice_index!$Z$1=1,"Total","Total")</f>
        <v>Total</v>
      </c>
      <c r="N306" s="1798"/>
      <c r="O306" s="1798"/>
      <c r="P306" s="1799"/>
      <c r="R306" s="96"/>
      <c r="S306" s="96"/>
      <c r="T306" s="96"/>
    </row>
    <row r="307" spans="3:20" hidden="1">
      <c r="C307" s="1049" t="s">
        <v>10</v>
      </c>
      <c r="D307" s="631"/>
      <c r="E307" s="1126"/>
      <c r="F307" s="1126"/>
      <c r="G307" s="1126"/>
      <c r="H307" s="1126"/>
      <c r="I307" s="1126"/>
      <c r="J307" s="1127"/>
      <c r="K307" s="1127"/>
      <c r="L307" s="1127"/>
      <c r="N307" s="1127"/>
      <c r="O307" s="1127"/>
      <c r="P307" s="229"/>
    </row>
    <row r="308" spans="3:20" hidden="1">
      <c r="C308" s="1049"/>
      <c r="D308" s="172" t="str">
        <f>IF(Indice_index!$Z$1=1,"janeiro","January")</f>
        <v>janeiro</v>
      </c>
      <c r="E308" s="1126">
        <v>1471</v>
      </c>
      <c r="F308" s="1126">
        <v>170</v>
      </c>
      <c r="G308" s="1126">
        <v>513</v>
      </c>
      <c r="H308" s="1126">
        <v>2154</v>
      </c>
      <c r="I308" s="1126">
        <v>912</v>
      </c>
      <c r="J308" s="1127">
        <v>2253347.4200000004</v>
      </c>
      <c r="K308" s="1127">
        <v>179900.55</v>
      </c>
      <c r="L308" s="1127">
        <v>249524.43</v>
      </c>
      <c r="M308" s="171">
        <v>2682772.4000000004</v>
      </c>
      <c r="N308" s="1127">
        <v>916372.71</v>
      </c>
      <c r="O308" s="1127">
        <v>1482.8</v>
      </c>
      <c r="P308" s="229">
        <v>486.4</v>
      </c>
    </row>
    <row r="309" spans="3:20" hidden="1">
      <c r="C309" s="1049"/>
      <c r="D309" s="172" t="str">
        <f>IF(Indice_index!$Z$1=1,"fevereiro","February")</f>
        <v>fevereiro</v>
      </c>
      <c r="E309" s="1126">
        <v>1939</v>
      </c>
      <c r="F309" s="1126">
        <v>209</v>
      </c>
      <c r="G309" s="1126">
        <v>781</v>
      </c>
      <c r="H309" s="1126">
        <v>2929</v>
      </c>
      <c r="I309" s="1126">
        <v>1065</v>
      </c>
      <c r="J309" s="1127">
        <v>2945192.88</v>
      </c>
      <c r="K309" s="1127">
        <v>229212.15</v>
      </c>
      <c r="L309" s="1127">
        <v>361995.2</v>
      </c>
      <c r="M309" s="171">
        <v>3536400.23</v>
      </c>
      <c r="N309" s="1127">
        <v>1127751.53</v>
      </c>
      <c r="O309" s="1127">
        <v>1477.8</v>
      </c>
      <c r="P309" s="229">
        <v>463.5</v>
      </c>
    </row>
    <row r="310" spans="3:20" hidden="1">
      <c r="C310" s="1049"/>
      <c r="D310" s="172" t="str">
        <f>IF(Indice_index!$Z$1=1,"março","March")</f>
        <v>março</v>
      </c>
      <c r="E310" s="1126">
        <v>1335</v>
      </c>
      <c r="F310" s="1126">
        <v>244</v>
      </c>
      <c r="G310" s="1126">
        <v>917</v>
      </c>
      <c r="H310" s="1126">
        <v>2496</v>
      </c>
      <c r="I310" s="1126">
        <v>1072</v>
      </c>
      <c r="J310" s="1127">
        <v>1800757.79</v>
      </c>
      <c r="K310" s="1127">
        <v>270853.71999999997</v>
      </c>
      <c r="L310" s="1127">
        <v>458403.63</v>
      </c>
      <c r="M310" s="171">
        <v>2530015.14</v>
      </c>
      <c r="N310" s="1127">
        <v>1000274.44</v>
      </c>
      <c r="O310" s="1127">
        <v>1312</v>
      </c>
      <c r="P310" s="229">
        <v>499.9</v>
      </c>
    </row>
    <row r="311" spans="3:20" hidden="1">
      <c r="C311" s="1049"/>
      <c r="D311" s="172" t="str">
        <f>IF(Indice_index!$Z$1=1,"abril","April")</f>
        <v>abril</v>
      </c>
      <c r="E311" s="1126">
        <v>1515</v>
      </c>
      <c r="F311" s="1126">
        <v>271</v>
      </c>
      <c r="G311" s="1126">
        <v>913</v>
      </c>
      <c r="H311" s="1126">
        <v>2699</v>
      </c>
      <c r="I311" s="1126">
        <v>1281</v>
      </c>
      <c r="J311" s="1127">
        <v>1784019.16</v>
      </c>
      <c r="K311" s="1127">
        <v>320223.28999999998</v>
      </c>
      <c r="L311" s="1127">
        <v>410277</v>
      </c>
      <c r="M311" s="171">
        <v>2514519.4499999997</v>
      </c>
      <c r="N311" s="1127">
        <v>1232238.1499999999</v>
      </c>
      <c r="O311" s="1127">
        <v>1178.2</v>
      </c>
      <c r="P311" s="229">
        <v>449.4</v>
      </c>
    </row>
    <row r="312" spans="3:20" hidden="1">
      <c r="C312" s="1049"/>
      <c r="D312" s="172" t="str">
        <f>IF(Indice_index!$Z$1=1,"maio","May")</f>
        <v>maio</v>
      </c>
      <c r="E312" s="1126">
        <v>1724</v>
      </c>
      <c r="F312" s="1126">
        <v>157</v>
      </c>
      <c r="G312" s="1126">
        <v>787</v>
      </c>
      <c r="H312" s="1126">
        <v>2668</v>
      </c>
      <c r="I312" s="1126">
        <v>1070</v>
      </c>
      <c r="J312" s="1127">
        <v>1822949.91</v>
      </c>
      <c r="K312" s="1127">
        <v>168669.13</v>
      </c>
      <c r="L312" s="1127">
        <v>376886.49</v>
      </c>
      <c r="M312" s="171">
        <v>2368505.5300000003</v>
      </c>
      <c r="N312" s="1127">
        <v>1044103.32</v>
      </c>
      <c r="O312" s="1127">
        <v>1058.8</v>
      </c>
      <c r="P312" s="229">
        <v>478.9</v>
      </c>
    </row>
    <row r="313" spans="3:20" hidden="1">
      <c r="C313" s="1049"/>
      <c r="D313" s="172" t="str">
        <f>IF(Indice_index!$Z$1=1,"junho","June")</f>
        <v>junho</v>
      </c>
      <c r="E313" s="1126">
        <v>1732</v>
      </c>
      <c r="F313" s="1126">
        <v>222</v>
      </c>
      <c r="G313" s="1126">
        <v>872</v>
      </c>
      <c r="H313" s="1126">
        <v>2826</v>
      </c>
      <c r="I313" s="1126">
        <v>977</v>
      </c>
      <c r="J313" s="1127">
        <v>1733424.6700000002</v>
      </c>
      <c r="K313" s="1127">
        <v>266897.39999999997</v>
      </c>
      <c r="L313" s="1127">
        <v>419051.86</v>
      </c>
      <c r="M313" s="171">
        <v>2419373.9300000002</v>
      </c>
      <c r="N313" s="1127">
        <v>942522.85</v>
      </c>
      <c r="O313" s="1127">
        <v>1023.7</v>
      </c>
      <c r="P313" s="229">
        <v>480.6</v>
      </c>
    </row>
    <row r="314" spans="3:20" hidden="1">
      <c r="C314" s="1049"/>
      <c r="D314" s="172" t="str">
        <f>IF(Indice_index!$Z$1=1,"julho","July")</f>
        <v>julho</v>
      </c>
      <c r="E314" s="1126">
        <v>1581</v>
      </c>
      <c r="F314" s="1126">
        <v>182</v>
      </c>
      <c r="G314" s="1126">
        <v>617</v>
      </c>
      <c r="H314" s="1126">
        <v>2380</v>
      </c>
      <c r="I314" s="1126">
        <v>849</v>
      </c>
      <c r="J314" s="1127">
        <v>1800225.19</v>
      </c>
      <c r="K314" s="1127">
        <v>184002.3</v>
      </c>
      <c r="L314" s="1127">
        <v>274219.46999999997</v>
      </c>
      <c r="M314" s="171">
        <v>2258446.96</v>
      </c>
      <c r="N314" s="1127">
        <v>858439.14</v>
      </c>
      <c r="O314" s="1127">
        <v>1125.5</v>
      </c>
      <c r="P314" s="229">
        <v>444.4</v>
      </c>
    </row>
    <row r="315" spans="3:20" hidden="1">
      <c r="C315" s="1049"/>
      <c r="D315" s="172" t="str">
        <f>IF(Indice_index!$Z$1=1,"agosto","August")</f>
        <v>agosto</v>
      </c>
      <c r="E315" s="1126">
        <v>1669</v>
      </c>
      <c r="F315" s="1126">
        <v>158</v>
      </c>
      <c r="G315" s="1126">
        <v>772</v>
      </c>
      <c r="H315" s="1126">
        <v>2599</v>
      </c>
      <c r="I315" s="1126">
        <v>741</v>
      </c>
      <c r="J315" s="1127">
        <v>1727876</v>
      </c>
      <c r="K315" s="1127">
        <v>185126</v>
      </c>
      <c r="L315" s="1127">
        <v>352719.34</v>
      </c>
      <c r="M315" s="171">
        <v>2265721.34</v>
      </c>
      <c r="N315" s="1127">
        <v>778258.21</v>
      </c>
      <c r="O315" s="1127">
        <v>1047.0999999999999</v>
      </c>
      <c r="P315" s="229">
        <v>456.9</v>
      </c>
    </row>
    <row r="316" spans="3:20" hidden="1">
      <c r="C316" s="1049"/>
      <c r="D316" s="172" t="str">
        <f>IF(Indice_index!$Z$1=1,"setembro","September")</f>
        <v>setembro</v>
      </c>
      <c r="E316" s="1126">
        <v>1866</v>
      </c>
      <c r="F316" s="1126">
        <v>170</v>
      </c>
      <c r="G316" s="1126">
        <v>644</v>
      </c>
      <c r="H316" s="1126">
        <v>2680</v>
      </c>
      <c r="I316" s="1126">
        <v>920</v>
      </c>
      <c r="J316" s="1127">
        <v>2272099.3400000003</v>
      </c>
      <c r="K316" s="1127">
        <v>175025.16999999998</v>
      </c>
      <c r="L316" s="1127">
        <v>302947.55</v>
      </c>
      <c r="M316" s="171">
        <v>2750072.06</v>
      </c>
      <c r="N316" s="1127">
        <v>888055.27</v>
      </c>
      <c r="O316" s="1127">
        <v>1201.9000000000001</v>
      </c>
      <c r="P316" s="229">
        <v>470.4</v>
      </c>
    </row>
    <row r="317" spans="3:20" hidden="1">
      <c r="C317" s="1049"/>
      <c r="D317" s="172" t="str">
        <f>IF(Indice_index!$Z$1=1,"outubro","October")</f>
        <v>outubro</v>
      </c>
      <c r="E317" s="1126">
        <v>1561</v>
      </c>
      <c r="F317" s="1126">
        <v>188</v>
      </c>
      <c r="G317" s="1126">
        <v>580</v>
      </c>
      <c r="H317" s="1126">
        <v>2329</v>
      </c>
      <c r="I317" s="1126">
        <v>832</v>
      </c>
      <c r="J317" s="1127">
        <v>2178361.13</v>
      </c>
      <c r="K317" s="1127">
        <v>234236.07</v>
      </c>
      <c r="L317" s="1127">
        <v>288827.51</v>
      </c>
      <c r="M317" s="171">
        <v>2701424.71</v>
      </c>
      <c r="N317" s="1127">
        <v>809217.05</v>
      </c>
      <c r="O317" s="1127">
        <v>1379.4</v>
      </c>
      <c r="P317" s="229">
        <v>498</v>
      </c>
    </row>
    <row r="318" spans="3:20" hidden="1">
      <c r="C318" s="1049"/>
      <c r="D318" s="172" t="str">
        <f>IF(Indice_index!$Z$1=1,"novembro","November")</f>
        <v>novembro</v>
      </c>
      <c r="E318" s="1126">
        <v>1234</v>
      </c>
      <c r="F318" s="1126">
        <v>61</v>
      </c>
      <c r="G318" s="1126">
        <v>671</v>
      </c>
      <c r="H318" s="1126">
        <v>1966</v>
      </c>
      <c r="I318" s="1126">
        <v>812</v>
      </c>
      <c r="J318" s="1127">
        <v>1909576.94</v>
      </c>
      <c r="K318" s="1127">
        <v>72721.81</v>
      </c>
      <c r="L318" s="1127">
        <v>305056.65000000002</v>
      </c>
      <c r="M318" s="171">
        <v>2287355.4</v>
      </c>
      <c r="N318" s="1127">
        <v>848710.81</v>
      </c>
      <c r="O318" s="1127">
        <v>1530.7</v>
      </c>
      <c r="P318" s="229">
        <v>454.6</v>
      </c>
    </row>
    <row r="319" spans="3:20" hidden="1">
      <c r="C319" s="1049"/>
      <c r="D319" s="172" t="str">
        <f>IF(Indice_index!$Z$1=1,"dezembro","December")</f>
        <v>dezembro</v>
      </c>
      <c r="E319" s="1126">
        <v>983</v>
      </c>
      <c r="F319" s="1126">
        <v>92</v>
      </c>
      <c r="G319" s="1126">
        <v>718</v>
      </c>
      <c r="H319" s="1126">
        <v>1793</v>
      </c>
      <c r="I319" s="1126">
        <v>886</v>
      </c>
      <c r="J319" s="1127">
        <v>1287264.1600000001</v>
      </c>
      <c r="K319" s="1127">
        <v>95656.23000000001</v>
      </c>
      <c r="L319" s="1127">
        <v>338357.31</v>
      </c>
      <c r="M319" s="171">
        <v>1721277.7000000002</v>
      </c>
      <c r="N319" s="1127">
        <v>931999.81</v>
      </c>
      <c r="O319" s="1127">
        <v>1286.4000000000001</v>
      </c>
      <c r="P319" s="229">
        <v>471.2</v>
      </c>
    </row>
    <row r="320" spans="3:20" hidden="1">
      <c r="C320" s="1049" t="s">
        <v>11</v>
      </c>
      <c r="D320" s="631"/>
      <c r="E320" s="1126"/>
      <c r="F320" s="1126"/>
      <c r="G320" s="1126"/>
      <c r="H320" s="1126"/>
      <c r="I320" s="1126"/>
      <c r="J320" s="1127"/>
      <c r="K320" s="1127"/>
      <c r="L320" s="1127"/>
      <c r="N320" s="1127"/>
      <c r="O320" s="1127"/>
      <c r="P320" s="229"/>
    </row>
    <row r="321" spans="3:16" hidden="1">
      <c r="C321" s="1049"/>
      <c r="D321" s="172" t="str">
        <f>IF(Indice_index!$Z$1=1,"janeiro","January")</f>
        <v>janeiro</v>
      </c>
      <c r="E321" s="1126">
        <v>1613</v>
      </c>
      <c r="F321" s="1126">
        <v>179</v>
      </c>
      <c r="G321" s="1126">
        <v>623</v>
      </c>
      <c r="H321" s="1126">
        <v>2415</v>
      </c>
      <c r="I321" s="1126">
        <v>841</v>
      </c>
      <c r="J321" s="1127">
        <v>2400812.1300000004</v>
      </c>
      <c r="K321" s="1127">
        <v>227341.87</v>
      </c>
      <c r="L321" s="1127">
        <v>301045</v>
      </c>
      <c r="M321" s="171">
        <v>2929199.0000000005</v>
      </c>
      <c r="N321" s="1127">
        <v>866112.06</v>
      </c>
      <c r="O321" s="1127">
        <v>1466.6</v>
      </c>
      <c r="P321" s="229">
        <v>483.2</v>
      </c>
    </row>
    <row r="322" spans="3:16" hidden="1">
      <c r="C322" s="1050"/>
      <c r="D322" s="172" t="str">
        <f>IF(Indice_index!$Z$1=1,"fevereiro","February")</f>
        <v>fevereiro</v>
      </c>
      <c r="E322" s="1126">
        <v>1506</v>
      </c>
      <c r="F322" s="1126">
        <v>218</v>
      </c>
      <c r="G322" s="1126">
        <v>731</v>
      </c>
      <c r="H322" s="1126">
        <v>2455</v>
      </c>
      <c r="I322" s="1126">
        <v>1081</v>
      </c>
      <c r="J322" s="1127">
        <v>1862688.8800000001</v>
      </c>
      <c r="K322" s="1127">
        <v>244140.95</v>
      </c>
      <c r="L322" s="1127">
        <v>345412</v>
      </c>
      <c r="M322" s="1127">
        <v>2452241.83</v>
      </c>
      <c r="N322" s="1127">
        <v>1114050.94</v>
      </c>
      <c r="O322" s="1127">
        <v>1222.0999999999999</v>
      </c>
      <c r="P322" s="1127">
        <v>472.5</v>
      </c>
    </row>
    <row r="323" spans="3:16" hidden="1">
      <c r="C323" s="1050"/>
      <c r="D323" s="172" t="str">
        <f>IF(Indice_index!$Z$1=1,"março","March")</f>
        <v>março</v>
      </c>
      <c r="E323" s="1126">
        <v>1681</v>
      </c>
      <c r="F323" s="1126">
        <v>142</v>
      </c>
      <c r="G323" s="1126">
        <v>660</v>
      </c>
      <c r="H323" s="1126">
        <v>2483</v>
      </c>
      <c r="I323" s="1126">
        <v>1094</v>
      </c>
      <c r="J323" s="1127">
        <v>1953254.07</v>
      </c>
      <c r="K323" s="1127">
        <v>165596.85</v>
      </c>
      <c r="L323" s="1127">
        <v>320609</v>
      </c>
      <c r="M323" s="1127">
        <v>2439459.92</v>
      </c>
      <c r="N323" s="1127">
        <v>1038005.63</v>
      </c>
      <c r="O323" s="1127">
        <v>1162.3</v>
      </c>
      <c r="P323" s="1127">
        <v>485.8</v>
      </c>
    </row>
    <row r="324" spans="3:16" hidden="1">
      <c r="C324" s="1050"/>
      <c r="D324" s="172" t="str">
        <f>IF(Indice_index!$Z$1=1,"abril","April")</f>
        <v>abril</v>
      </c>
      <c r="E324" s="1126">
        <v>1900</v>
      </c>
      <c r="F324" s="1126">
        <v>177</v>
      </c>
      <c r="G324" s="1126">
        <v>671</v>
      </c>
      <c r="H324" s="1126">
        <v>2748</v>
      </c>
      <c r="I324" s="1126">
        <v>1050</v>
      </c>
      <c r="J324" s="1127">
        <v>2059097.8399999999</v>
      </c>
      <c r="K324" s="1127">
        <v>198424.51</v>
      </c>
      <c r="L324" s="1127">
        <v>356233.68</v>
      </c>
      <c r="M324" s="1127">
        <v>2613756.0299999998</v>
      </c>
      <c r="N324" s="1127">
        <v>1024683.18</v>
      </c>
      <c r="O324" s="1127">
        <v>1086.9000000000001</v>
      </c>
      <c r="P324" s="1127">
        <v>530.9</v>
      </c>
    </row>
    <row r="325" spans="3:16" hidden="1">
      <c r="C325" s="1050"/>
      <c r="D325" s="172" t="str">
        <f>IF(Indice_index!$Z$1=1,"maio","May")</f>
        <v>maio</v>
      </c>
      <c r="E325" s="1126">
        <v>1861</v>
      </c>
      <c r="F325" s="1126">
        <v>216</v>
      </c>
      <c r="G325" s="1126">
        <v>735</v>
      </c>
      <c r="H325" s="1126">
        <v>2812</v>
      </c>
      <c r="I325" s="1126">
        <v>1023</v>
      </c>
      <c r="J325" s="1127">
        <v>1969417.4999999998</v>
      </c>
      <c r="K325" s="1127">
        <v>246357.05999999997</v>
      </c>
      <c r="L325" s="1127">
        <v>355275.85</v>
      </c>
      <c r="M325" s="1127">
        <v>2571050.4099999997</v>
      </c>
      <c r="N325" s="1127">
        <v>1030219.37</v>
      </c>
      <c r="O325" s="1127">
        <v>1066.8</v>
      </c>
      <c r="P325" s="1127">
        <v>483.4</v>
      </c>
    </row>
    <row r="326" spans="3:16" hidden="1">
      <c r="C326" s="1050"/>
      <c r="D326" s="172" t="str">
        <f>IF(Indice_index!$Z$1=1,"junho","June")</f>
        <v>junho</v>
      </c>
      <c r="E326" s="1126">
        <v>1365</v>
      </c>
      <c r="F326" s="1126">
        <v>384</v>
      </c>
      <c r="G326" s="1126">
        <v>741</v>
      </c>
      <c r="H326" s="1126">
        <v>2490</v>
      </c>
      <c r="I326" s="1126">
        <v>1059</v>
      </c>
      <c r="J326" s="1127">
        <v>1662954.27</v>
      </c>
      <c r="K326" s="1127">
        <v>419758.02999999997</v>
      </c>
      <c r="L326" s="1127">
        <v>355587.63999999996</v>
      </c>
      <c r="M326" s="1127">
        <v>2438299.94</v>
      </c>
      <c r="N326" s="1127">
        <v>1067108.72</v>
      </c>
      <c r="O326" s="1127">
        <v>1190.8</v>
      </c>
      <c r="P326" s="1127">
        <v>479.9</v>
      </c>
    </row>
    <row r="327" spans="3:16" hidden="1">
      <c r="C327" s="1050"/>
      <c r="D327" s="172" t="str">
        <f>IF(Indice_index!$Z$1=1,"julho","July")</f>
        <v>julho</v>
      </c>
      <c r="E327" s="1126">
        <v>1213</v>
      </c>
      <c r="F327" s="1126">
        <v>164</v>
      </c>
      <c r="G327" s="1126">
        <v>517</v>
      </c>
      <c r="H327" s="1126">
        <v>1894</v>
      </c>
      <c r="I327" s="1126">
        <v>870</v>
      </c>
      <c r="J327" s="1127">
        <v>1340995.3999999999</v>
      </c>
      <c r="K327" s="1127">
        <v>188130.56</v>
      </c>
      <c r="L327" s="1127">
        <v>252965.25</v>
      </c>
      <c r="M327" s="1127">
        <v>1782091.21</v>
      </c>
      <c r="N327" s="1127">
        <v>901571.89</v>
      </c>
      <c r="O327" s="1127">
        <v>1110.5</v>
      </c>
      <c r="P327" s="1127">
        <v>489.3</v>
      </c>
    </row>
    <row r="328" spans="3:16" hidden="1">
      <c r="C328" s="1050"/>
      <c r="D328" s="172" t="str">
        <f>IF(Indice_index!$Z$1=1,"agosto","August")</f>
        <v>agosto</v>
      </c>
      <c r="E328" s="1126">
        <v>982</v>
      </c>
      <c r="F328" s="1126">
        <v>127</v>
      </c>
      <c r="G328" s="1126">
        <v>804</v>
      </c>
      <c r="H328" s="1126">
        <v>1913</v>
      </c>
      <c r="I328" s="1126">
        <v>888</v>
      </c>
      <c r="J328" s="1127">
        <v>1183488.18</v>
      </c>
      <c r="K328" s="1127">
        <v>160049.88999999998</v>
      </c>
      <c r="L328" s="1127">
        <v>403157.06999999995</v>
      </c>
      <c r="M328" s="1127">
        <v>1746695.1399999997</v>
      </c>
      <c r="N328" s="1127">
        <v>896681.29</v>
      </c>
      <c r="O328" s="1127">
        <v>1211.5</v>
      </c>
      <c r="P328" s="1127">
        <v>501.4</v>
      </c>
    </row>
    <row r="329" spans="3:16" hidden="1">
      <c r="C329" s="1050"/>
      <c r="D329" s="172" t="str">
        <f>IF(Indice_index!$Z$1=1,"setembro","September")</f>
        <v>setembro</v>
      </c>
      <c r="E329" s="1126">
        <v>917</v>
      </c>
      <c r="F329" s="1126">
        <v>109</v>
      </c>
      <c r="G329" s="1126">
        <v>593</v>
      </c>
      <c r="H329" s="1126">
        <v>1619</v>
      </c>
      <c r="I329" s="1126">
        <v>1070</v>
      </c>
      <c r="J329" s="1127">
        <v>1135377.3700000001</v>
      </c>
      <c r="K329" s="1127">
        <v>139130.28</v>
      </c>
      <c r="L329" s="1127">
        <v>308089.84000000003</v>
      </c>
      <c r="M329" s="1127">
        <v>1582597.49</v>
      </c>
      <c r="N329" s="1127">
        <v>1129850.44</v>
      </c>
      <c r="O329" s="1127">
        <v>1242.2</v>
      </c>
      <c r="P329" s="1127">
        <v>519.5</v>
      </c>
    </row>
    <row r="330" spans="3:16" hidden="1">
      <c r="C330" s="1050"/>
      <c r="D330" s="172" t="str">
        <f>IF(Indice_index!$Z$1=1,"outubro","October")</f>
        <v>outubro</v>
      </c>
      <c r="E330" s="1126">
        <v>1029</v>
      </c>
      <c r="F330" s="1126">
        <v>99</v>
      </c>
      <c r="G330" s="1126">
        <v>677</v>
      </c>
      <c r="H330" s="1126">
        <v>1805</v>
      </c>
      <c r="I330" s="1126">
        <v>841</v>
      </c>
      <c r="J330" s="1127">
        <v>1586106.08</v>
      </c>
      <c r="K330" s="1127">
        <v>125250.46</v>
      </c>
      <c r="L330" s="1127">
        <v>298338.21000000002</v>
      </c>
      <c r="M330" s="1127">
        <v>2009694.75</v>
      </c>
      <c r="N330" s="1127">
        <v>890517.06</v>
      </c>
      <c r="O330" s="1127">
        <v>1517.2</v>
      </c>
      <c r="P330" s="1127">
        <v>440.7</v>
      </c>
    </row>
    <row r="331" spans="3:16" hidden="1">
      <c r="C331" s="1050"/>
      <c r="D331" s="172" t="str">
        <f>IF(Indice_index!$Z$1=1,"novembro","November")</f>
        <v>novembro</v>
      </c>
      <c r="E331" s="1126">
        <v>2024</v>
      </c>
      <c r="F331" s="1126">
        <v>357</v>
      </c>
      <c r="G331" s="1126">
        <v>927</v>
      </c>
      <c r="H331" s="1126">
        <v>3308</v>
      </c>
      <c r="I331" s="1126">
        <v>899</v>
      </c>
      <c r="J331" s="1127">
        <v>3234310.3</v>
      </c>
      <c r="K331" s="1127">
        <v>451766.15</v>
      </c>
      <c r="L331" s="1127">
        <v>474381.68</v>
      </c>
      <c r="M331" s="1127">
        <v>4160458.13</v>
      </c>
      <c r="N331" s="1127">
        <v>973584.25</v>
      </c>
      <c r="O331" s="1127">
        <v>1548.1</v>
      </c>
      <c r="P331" s="1127">
        <v>511.7</v>
      </c>
    </row>
    <row r="332" spans="3:16" hidden="1">
      <c r="C332" s="1050"/>
      <c r="D332" s="172" t="str">
        <f>IF(Indice_index!$Z$1=1,"dezembro","December")</f>
        <v>dezembro</v>
      </c>
      <c r="E332" s="1126">
        <v>1935</v>
      </c>
      <c r="F332" s="1126">
        <v>132</v>
      </c>
      <c r="G332" s="1126">
        <v>881</v>
      </c>
      <c r="H332" s="1126">
        <v>2948</v>
      </c>
      <c r="I332" s="1126">
        <v>911</v>
      </c>
      <c r="J332" s="1127">
        <v>3354755.0300000003</v>
      </c>
      <c r="K332" s="1127">
        <v>152507.60999999999</v>
      </c>
      <c r="L332" s="1127">
        <v>438256.88</v>
      </c>
      <c r="M332" s="1127">
        <v>3945519.52</v>
      </c>
      <c r="N332" s="1127">
        <v>919486.9</v>
      </c>
      <c r="O332" s="1127">
        <v>1696.8</v>
      </c>
      <c r="P332" s="1127">
        <v>497.5</v>
      </c>
    </row>
    <row r="333" spans="3:16" hidden="1">
      <c r="C333" s="1049" t="s">
        <v>12</v>
      </c>
      <c r="D333" s="171"/>
      <c r="E333" s="1126"/>
      <c r="F333" s="1126"/>
      <c r="G333" s="1126"/>
      <c r="H333" s="1126"/>
      <c r="I333" s="1126"/>
      <c r="J333" s="1127"/>
      <c r="K333" s="1127"/>
      <c r="L333" s="1127"/>
      <c r="M333" s="1127"/>
      <c r="N333" s="1127"/>
      <c r="O333" s="1127"/>
      <c r="P333" s="1127"/>
    </row>
    <row r="334" spans="3:16" hidden="1">
      <c r="C334" s="1050"/>
      <c r="D334" s="172" t="str">
        <f>IF(Indice_index!$Z$1=1,"janeiro","January")</f>
        <v>janeiro</v>
      </c>
      <c r="E334" s="1126">
        <v>1562</v>
      </c>
      <c r="F334" s="1126">
        <v>298</v>
      </c>
      <c r="G334" s="1126">
        <v>580</v>
      </c>
      <c r="H334" s="1126">
        <v>2440</v>
      </c>
      <c r="I334" s="1126">
        <v>887</v>
      </c>
      <c r="J334" s="1127">
        <v>2144170.29</v>
      </c>
      <c r="K334" s="1127">
        <v>342562.81</v>
      </c>
      <c r="L334" s="1127">
        <v>264495.68</v>
      </c>
      <c r="M334" s="1127">
        <v>2751228.78</v>
      </c>
      <c r="N334" s="1127">
        <v>938329.29</v>
      </c>
      <c r="O334" s="1127">
        <v>1337</v>
      </c>
      <c r="P334" s="1127">
        <v>456</v>
      </c>
    </row>
    <row r="335" spans="3:16" hidden="1">
      <c r="C335" s="1050"/>
      <c r="D335" s="172" t="str">
        <f>IF(Indice_index!$Z$1=1,"fevereiro","February")</f>
        <v>fevereiro</v>
      </c>
      <c r="E335" s="1126">
        <v>1528</v>
      </c>
      <c r="F335" s="1126">
        <v>162</v>
      </c>
      <c r="G335" s="1126">
        <v>750</v>
      </c>
      <c r="H335" s="1126">
        <v>2440</v>
      </c>
      <c r="I335" s="1126">
        <v>1283</v>
      </c>
      <c r="J335" s="1127">
        <v>1757313.13</v>
      </c>
      <c r="K335" s="1127">
        <v>215035.99</v>
      </c>
      <c r="L335" s="1127">
        <v>377259.18</v>
      </c>
      <c r="M335" s="1127">
        <v>2349608.2999999998</v>
      </c>
      <c r="N335" s="1127">
        <v>1295736.5900000001</v>
      </c>
      <c r="O335" s="1127">
        <v>1167.0999999999999</v>
      </c>
      <c r="P335" s="1127">
        <v>503</v>
      </c>
    </row>
    <row r="336" spans="3:16" hidden="1">
      <c r="C336" s="1050"/>
      <c r="D336" s="172" t="str">
        <f>IF(Indice_index!$Z$1=1,"março","March")</f>
        <v>março</v>
      </c>
      <c r="E336" s="1126">
        <v>1569</v>
      </c>
      <c r="F336" s="1126">
        <v>77</v>
      </c>
      <c r="G336" s="1126">
        <v>813</v>
      </c>
      <c r="H336" s="1126">
        <v>2459</v>
      </c>
      <c r="I336" s="1126">
        <v>1102</v>
      </c>
      <c r="J336" s="1127">
        <v>1989226.2</v>
      </c>
      <c r="K336" s="1127">
        <v>95593.09</v>
      </c>
      <c r="L336" s="1127">
        <v>424644.21</v>
      </c>
      <c r="M336" s="1127">
        <v>2509463.5</v>
      </c>
      <c r="N336" s="1127">
        <v>1117527.6599999999</v>
      </c>
      <c r="O336" s="1127">
        <v>1266.5999999999999</v>
      </c>
      <c r="P336" s="1127">
        <v>522.29999999999995</v>
      </c>
    </row>
    <row r="337" spans="3:27" hidden="1">
      <c r="C337" s="1052"/>
      <c r="D337" s="172" t="str">
        <f>IF(Indice_index!$Z$1=1,"abril","April")</f>
        <v>abril</v>
      </c>
      <c r="E337" s="1126">
        <v>1334</v>
      </c>
      <c r="F337" s="1126">
        <v>341</v>
      </c>
      <c r="G337" s="1126">
        <v>818</v>
      </c>
      <c r="H337" s="1126">
        <v>2493</v>
      </c>
      <c r="I337" s="1126">
        <v>1031</v>
      </c>
      <c r="J337" s="1127">
        <v>1739113.49</v>
      </c>
      <c r="K337" s="1127">
        <v>381846.29</v>
      </c>
      <c r="L337" s="1127">
        <v>407992.44</v>
      </c>
      <c r="M337" s="1127">
        <v>2528952.2200000002</v>
      </c>
      <c r="N337" s="1127">
        <v>1083317.72</v>
      </c>
      <c r="O337" s="1127">
        <v>1266.2</v>
      </c>
      <c r="P337" s="1127">
        <v>498.8</v>
      </c>
    </row>
    <row r="338" spans="3:27" hidden="1">
      <c r="C338" s="1052"/>
      <c r="D338" s="172" t="str">
        <f>IF(Indice_index!$Z$1=1,"maio","May")</f>
        <v>maio</v>
      </c>
      <c r="E338" s="1126">
        <v>1569</v>
      </c>
      <c r="F338" s="1126">
        <v>126</v>
      </c>
      <c r="G338" s="1126">
        <v>646</v>
      </c>
      <c r="H338" s="1126">
        <v>2341</v>
      </c>
      <c r="I338" s="1126">
        <v>921</v>
      </c>
      <c r="J338" s="1127">
        <v>1984561.34</v>
      </c>
      <c r="K338" s="1127">
        <v>142609.82</v>
      </c>
      <c r="L338" s="1127">
        <v>314798.21999999997</v>
      </c>
      <c r="M338" s="1127">
        <v>2441969.38</v>
      </c>
      <c r="N338" s="1127">
        <v>990536</v>
      </c>
      <c r="O338" s="1127">
        <v>1255</v>
      </c>
      <c r="P338" s="1127">
        <v>487.3</v>
      </c>
    </row>
    <row r="339" spans="3:27" hidden="1">
      <c r="C339" s="1052"/>
      <c r="D339" s="172" t="str">
        <f>IF(Indice_index!$Z$1=1,"junho","June")</f>
        <v>junho</v>
      </c>
      <c r="E339" s="1126">
        <v>1552</v>
      </c>
      <c r="F339" s="1126">
        <v>186</v>
      </c>
      <c r="G339" s="1126">
        <v>759</v>
      </c>
      <c r="H339" s="1126">
        <v>2497</v>
      </c>
      <c r="I339" s="1126">
        <v>1019</v>
      </c>
      <c r="J339" s="1127">
        <v>1832568.78</v>
      </c>
      <c r="K339" s="1127">
        <v>213884.45</v>
      </c>
      <c r="L339" s="1127">
        <v>378716.78</v>
      </c>
      <c r="M339" s="1127">
        <v>2425170.0099999998</v>
      </c>
      <c r="N339" s="1127">
        <v>1050314.4099999999</v>
      </c>
      <c r="O339" s="1127">
        <v>1177.5</v>
      </c>
      <c r="P339" s="1127">
        <v>499</v>
      </c>
    </row>
    <row r="340" spans="3:27" hidden="1">
      <c r="C340" s="1052"/>
      <c r="D340" s="172" t="str">
        <f>IF(Indice_index!$Z$1=1,"julho","July")</f>
        <v>julho</v>
      </c>
      <c r="E340" s="1126">
        <v>1796</v>
      </c>
      <c r="F340" s="1126">
        <v>87</v>
      </c>
      <c r="G340" s="1126">
        <v>13138</v>
      </c>
      <c r="H340" s="1126">
        <v>15021</v>
      </c>
      <c r="I340" s="1126">
        <v>853</v>
      </c>
      <c r="J340" s="1127">
        <v>1927040.2400000002</v>
      </c>
      <c r="K340" s="1127">
        <v>86949.419999999984</v>
      </c>
      <c r="L340" s="1127">
        <v>2496857.39</v>
      </c>
      <c r="M340" s="1127">
        <v>4510847.0500000007</v>
      </c>
      <c r="N340" s="1127">
        <v>877658.51</v>
      </c>
      <c r="O340" s="1127">
        <v>1069.5999999999999</v>
      </c>
      <c r="P340" s="1127">
        <v>190</v>
      </c>
    </row>
    <row r="341" spans="3:27" hidden="1">
      <c r="C341" s="1052"/>
      <c r="D341" s="172" t="str">
        <f>IF(Indice_index!$Z$1=1,"agosto","August")</f>
        <v>agosto</v>
      </c>
      <c r="E341" s="1126">
        <v>2800</v>
      </c>
      <c r="F341" s="1126">
        <v>285</v>
      </c>
      <c r="G341" s="1126">
        <v>796</v>
      </c>
      <c r="H341" s="1126">
        <v>3881</v>
      </c>
      <c r="I341" s="1126">
        <v>911</v>
      </c>
      <c r="J341" s="1127">
        <v>1784574.77</v>
      </c>
      <c r="K341" s="1127">
        <v>279773.2</v>
      </c>
      <c r="L341" s="1127">
        <v>415378.73</v>
      </c>
      <c r="M341" s="1127">
        <v>2479726.7000000002</v>
      </c>
      <c r="N341" s="1127">
        <v>971128.11</v>
      </c>
      <c r="O341" s="1127">
        <v>669.2</v>
      </c>
      <c r="P341" s="1127">
        <v>521.79999999999995</v>
      </c>
    </row>
    <row r="342" spans="3:27" hidden="1">
      <c r="C342" s="1052"/>
      <c r="D342" s="172" t="str">
        <f>IF(Indice_index!$Z$1=1,"setembro","September")</f>
        <v>setembro</v>
      </c>
      <c r="E342" s="1126">
        <v>2469</v>
      </c>
      <c r="F342" s="1126">
        <v>270</v>
      </c>
      <c r="G342" s="1126">
        <v>566</v>
      </c>
      <c r="H342" s="1126">
        <v>3305</v>
      </c>
      <c r="I342" s="1126">
        <v>887</v>
      </c>
      <c r="J342" s="1127">
        <v>1750249.17</v>
      </c>
      <c r="K342" s="1127">
        <v>269596.73</v>
      </c>
      <c r="L342" s="1127">
        <v>279032.69</v>
      </c>
      <c r="M342" s="1127">
        <v>2298878.59</v>
      </c>
      <c r="N342" s="1127">
        <v>910999.21</v>
      </c>
      <c r="O342" s="1127">
        <v>737.4</v>
      </c>
      <c r="P342" s="1127">
        <v>493</v>
      </c>
    </row>
    <row r="343" spans="3:27" hidden="1">
      <c r="C343" s="1052"/>
      <c r="D343" s="172" t="str">
        <f>IF(Indice_index!$Z$1=1,"outubro","October")</f>
        <v>outubro</v>
      </c>
      <c r="E343" s="1126">
        <v>1613</v>
      </c>
      <c r="F343" s="1126">
        <v>100</v>
      </c>
      <c r="G343" s="1126">
        <v>849</v>
      </c>
      <c r="H343" s="1126">
        <v>2562</v>
      </c>
      <c r="I343" s="1126">
        <v>899</v>
      </c>
      <c r="J343" s="1127">
        <v>1797338.73</v>
      </c>
      <c r="K343" s="1127">
        <v>107549.74</v>
      </c>
      <c r="L343" s="1127">
        <v>415703.82</v>
      </c>
      <c r="M343" s="1127">
        <v>2320592.29</v>
      </c>
      <c r="N343" s="1127">
        <v>936966.85</v>
      </c>
      <c r="O343" s="1127">
        <v>1112</v>
      </c>
      <c r="P343" s="1127">
        <v>489</v>
      </c>
    </row>
    <row r="344" spans="3:27" hidden="1">
      <c r="C344" s="1052"/>
      <c r="D344" s="172" t="str">
        <f>IF(Indice_index!$Z$1=1,"novembro","November")</f>
        <v>novembro</v>
      </c>
      <c r="E344" s="1126">
        <v>1796</v>
      </c>
      <c r="F344" s="1126">
        <v>142</v>
      </c>
      <c r="G344" s="1126">
        <v>834</v>
      </c>
      <c r="H344" s="1126">
        <v>2772</v>
      </c>
      <c r="I344" s="1126">
        <v>1014</v>
      </c>
      <c r="J344" s="1127">
        <v>2281320.89</v>
      </c>
      <c r="K344" s="1127">
        <v>136727.79</v>
      </c>
      <c r="L344" s="1127">
        <v>409322.86</v>
      </c>
      <c r="M344" s="1127">
        <v>2827371.54</v>
      </c>
      <c r="N344" s="1127">
        <v>1047371.52</v>
      </c>
      <c r="O344" s="1127">
        <v>1247.7</v>
      </c>
      <c r="P344" s="1127">
        <v>490.8</v>
      </c>
    </row>
    <row r="345" spans="3:27" hidden="1">
      <c r="C345" s="1052"/>
      <c r="D345" s="172" t="str">
        <f>IF(Indice_index!$Z$1=1,"dezembro","December")</f>
        <v>dezembro</v>
      </c>
      <c r="E345" s="1126">
        <v>1523</v>
      </c>
      <c r="F345" s="1126">
        <v>115</v>
      </c>
      <c r="G345" s="1126">
        <v>677</v>
      </c>
      <c r="H345" s="1126">
        <v>2315</v>
      </c>
      <c r="I345" s="1126">
        <v>936</v>
      </c>
      <c r="J345" s="1127">
        <v>1839898.4</v>
      </c>
      <c r="K345" s="1127">
        <v>100441.60000000001</v>
      </c>
      <c r="L345" s="1127">
        <v>334836.89</v>
      </c>
      <c r="M345" s="1127">
        <v>2275176.89</v>
      </c>
      <c r="N345" s="1127">
        <v>1000387.68</v>
      </c>
      <c r="O345" s="1127">
        <v>1184.5999999999999</v>
      </c>
      <c r="P345" s="1127">
        <v>494.6</v>
      </c>
    </row>
    <row r="346" spans="3:27" hidden="1">
      <c r="C346" s="1051">
        <v>2015</v>
      </c>
      <c r="D346" s="171"/>
      <c r="E346" s="1126"/>
      <c r="F346" s="1126"/>
      <c r="G346" s="1126"/>
      <c r="H346" s="1126"/>
      <c r="I346" s="1126"/>
      <c r="J346" s="1127"/>
      <c r="K346" s="1127"/>
      <c r="L346" s="1127"/>
      <c r="M346" s="1127"/>
      <c r="N346" s="1127"/>
      <c r="O346" s="1127"/>
      <c r="P346" s="1127"/>
    </row>
    <row r="347" spans="3:27" ht="11.25" hidden="1">
      <c r="C347" s="1052"/>
      <c r="D347" s="172" t="str">
        <f>IF(Indice_index!$Z$1=1,"janeiro","January")</f>
        <v>janeiro</v>
      </c>
      <c r="E347" s="1126">
        <v>1770</v>
      </c>
      <c r="F347" s="1126">
        <v>136</v>
      </c>
      <c r="G347" s="1126">
        <v>606</v>
      </c>
      <c r="H347" s="1126">
        <v>2512</v>
      </c>
      <c r="I347" s="1126">
        <v>921</v>
      </c>
      <c r="J347" s="1127">
        <v>2407139.7599999998</v>
      </c>
      <c r="K347" s="1127">
        <v>109758.61</v>
      </c>
      <c r="L347" s="1127">
        <v>299494.09999999998</v>
      </c>
      <c r="M347" s="1127">
        <v>2816392.47</v>
      </c>
      <c r="N347" s="1127">
        <v>975542.06</v>
      </c>
      <c r="O347" s="1127">
        <v>1320.5</v>
      </c>
      <c r="P347" s="1127">
        <v>494.2</v>
      </c>
      <c r="X347" s="229"/>
      <c r="Y347" s="229"/>
      <c r="Z347" s="229"/>
      <c r="AA347" s="229"/>
    </row>
    <row r="348" spans="3:27" hidden="1">
      <c r="C348" s="1052"/>
      <c r="D348" s="172" t="str">
        <f>IF(Indice_index!$Z$1=1,"fevereiro","February")</f>
        <v>fevereiro</v>
      </c>
      <c r="E348" s="1126">
        <v>1711</v>
      </c>
      <c r="F348" s="1126">
        <v>94</v>
      </c>
      <c r="G348" s="1126">
        <v>532</v>
      </c>
      <c r="H348" s="1126">
        <v>2337</v>
      </c>
      <c r="I348" s="1126">
        <v>1226</v>
      </c>
      <c r="J348" s="1127">
        <v>2130496.8199999998</v>
      </c>
      <c r="K348" s="1127">
        <v>96635.839999999997</v>
      </c>
      <c r="L348" s="1127">
        <v>306687.09000000003</v>
      </c>
      <c r="M348" s="1127">
        <v>2533819.75</v>
      </c>
      <c r="N348" s="1127">
        <v>1273588.1499999999</v>
      </c>
      <c r="O348" s="1127">
        <v>1233.9000000000001</v>
      </c>
      <c r="P348" s="1127">
        <v>576.5</v>
      </c>
    </row>
    <row r="349" spans="3:27" hidden="1">
      <c r="C349" s="1052"/>
      <c r="D349" s="172" t="str">
        <f>IF(Indice_index!$Z$1=1,"março","March")</f>
        <v>março</v>
      </c>
      <c r="E349" s="1126">
        <v>1863</v>
      </c>
      <c r="F349" s="1126">
        <v>118</v>
      </c>
      <c r="G349" s="1126">
        <v>710</v>
      </c>
      <c r="H349" s="1126">
        <v>2691</v>
      </c>
      <c r="I349" s="1126">
        <v>1438</v>
      </c>
      <c r="J349" s="1127">
        <v>2491570.5099999998</v>
      </c>
      <c r="K349" s="1127">
        <v>123472.14</v>
      </c>
      <c r="L349" s="1127">
        <v>377539.71</v>
      </c>
      <c r="M349" s="1127">
        <v>2992582.36</v>
      </c>
      <c r="N349" s="1127">
        <v>1483538.72</v>
      </c>
      <c r="O349" s="1127">
        <v>1320.1</v>
      </c>
      <c r="P349" s="1127">
        <v>531.70000000000005</v>
      </c>
    </row>
    <row r="350" spans="3:27" hidden="1">
      <c r="C350" s="1052"/>
      <c r="D350" s="172" t="str">
        <f>IF(Indice_index!$Z$1=1,"abril","April")</f>
        <v>abril</v>
      </c>
      <c r="E350" s="1126">
        <v>1442</v>
      </c>
      <c r="F350" s="1126">
        <v>218</v>
      </c>
      <c r="G350" s="1126">
        <v>952</v>
      </c>
      <c r="H350" s="1126">
        <v>2612</v>
      </c>
      <c r="I350" s="1126">
        <v>1325</v>
      </c>
      <c r="J350" s="1127">
        <v>1870266.71</v>
      </c>
      <c r="K350" s="1127">
        <v>207453.98</v>
      </c>
      <c r="L350" s="1127">
        <v>493357.47</v>
      </c>
      <c r="M350" s="1127">
        <v>2571078.16</v>
      </c>
      <c r="N350" s="1127">
        <v>1329636.56</v>
      </c>
      <c r="O350" s="1127">
        <v>1251.5999999999999</v>
      </c>
      <c r="P350" s="1127">
        <v>518.20000000000005</v>
      </c>
    </row>
    <row r="351" spans="3:27" hidden="1">
      <c r="C351" s="1052"/>
      <c r="D351" s="172" t="str">
        <f>IF(Indice_index!$Z$1=1,"maio","May")</f>
        <v>maio</v>
      </c>
      <c r="E351" s="1126">
        <v>1389</v>
      </c>
      <c r="F351" s="1126">
        <v>135</v>
      </c>
      <c r="G351" s="1126">
        <v>2741</v>
      </c>
      <c r="H351" s="1126">
        <v>4265</v>
      </c>
      <c r="I351" s="1126">
        <v>1072</v>
      </c>
      <c r="J351" s="1127">
        <v>1490666.5</v>
      </c>
      <c r="K351" s="1127">
        <v>128359.52</v>
      </c>
      <c r="L351" s="1127">
        <v>646844.06000000006</v>
      </c>
      <c r="M351" s="1127">
        <v>2265870.08</v>
      </c>
      <c r="N351" s="1127">
        <v>1111609.3999999999</v>
      </c>
      <c r="O351" s="1127">
        <v>1062.4000000000001</v>
      </c>
      <c r="P351" s="1127">
        <v>236</v>
      </c>
    </row>
    <row r="352" spans="3:27" hidden="1">
      <c r="C352" s="1052"/>
      <c r="D352" s="172" t="str">
        <f>IF(Indice_index!$Z$1=1,"junho","June")</f>
        <v>junho</v>
      </c>
      <c r="E352" s="1126">
        <v>1220</v>
      </c>
      <c r="F352" s="1126">
        <v>183</v>
      </c>
      <c r="G352" s="1126">
        <v>728</v>
      </c>
      <c r="H352" s="1126">
        <v>2131</v>
      </c>
      <c r="I352" s="1126">
        <v>953</v>
      </c>
      <c r="J352" s="1127">
        <v>1122638.95</v>
      </c>
      <c r="K352" s="1127">
        <v>154324.73000000001</v>
      </c>
      <c r="L352" s="1127">
        <v>340523.99</v>
      </c>
      <c r="M352" s="1127">
        <v>1617487.67</v>
      </c>
      <c r="N352" s="1127">
        <v>979034.81</v>
      </c>
      <c r="O352" s="1127">
        <v>910.2</v>
      </c>
      <c r="P352" s="1127">
        <v>467.8</v>
      </c>
    </row>
    <row r="353" spans="3:16" hidden="1">
      <c r="C353" s="1052"/>
      <c r="D353" s="172" t="str">
        <f>IF(Indice_index!$Z$1=1,"julho","July")</f>
        <v>julho</v>
      </c>
      <c r="E353" s="1126">
        <v>665</v>
      </c>
      <c r="F353" s="1126">
        <v>150</v>
      </c>
      <c r="G353" s="1126">
        <v>802</v>
      </c>
      <c r="H353" s="1126">
        <v>1617</v>
      </c>
      <c r="I353" s="1126">
        <v>946</v>
      </c>
      <c r="J353" s="1127">
        <v>799815.27</v>
      </c>
      <c r="K353" s="1127">
        <v>164683.47</v>
      </c>
      <c r="L353" s="1127">
        <v>381132.69</v>
      </c>
      <c r="M353" s="1127">
        <v>1345631.43</v>
      </c>
      <c r="N353" s="1127">
        <v>982409.2</v>
      </c>
      <c r="O353" s="1127">
        <v>1183.4000000000001</v>
      </c>
      <c r="P353" s="1127">
        <v>475.2</v>
      </c>
    </row>
    <row r="354" spans="3:16" hidden="1">
      <c r="C354" s="1052"/>
      <c r="D354" s="172" t="str">
        <f>IF(Indice_index!$Z$1=1,"agosto","August")</f>
        <v>agosto</v>
      </c>
      <c r="E354" s="1126">
        <v>1267</v>
      </c>
      <c r="F354" s="1126">
        <v>180</v>
      </c>
      <c r="G354" s="1126">
        <v>763</v>
      </c>
      <c r="H354" s="1126">
        <v>2210</v>
      </c>
      <c r="I354" s="1126">
        <v>983</v>
      </c>
      <c r="J354" s="1127">
        <v>729279.21</v>
      </c>
      <c r="K354" s="1127">
        <v>227538.68</v>
      </c>
      <c r="L354" s="1127">
        <v>369190.44</v>
      </c>
      <c r="M354" s="1127">
        <v>1326008.33</v>
      </c>
      <c r="N354" s="1127">
        <v>992158.48</v>
      </c>
      <c r="O354" s="1127">
        <v>661.2</v>
      </c>
      <c r="P354" s="1127">
        <v>483.9</v>
      </c>
    </row>
    <row r="355" spans="3:16" hidden="1">
      <c r="C355" s="1052"/>
      <c r="D355" s="172" t="str">
        <f>IF(Indice_index!$Z$1=1,"setembro","September")</f>
        <v>setembro</v>
      </c>
      <c r="E355" s="1126">
        <v>967</v>
      </c>
      <c r="F355" s="1126">
        <v>184</v>
      </c>
      <c r="G355" s="1126">
        <v>748</v>
      </c>
      <c r="H355" s="1126">
        <v>1899</v>
      </c>
      <c r="I355" s="1126">
        <v>953</v>
      </c>
      <c r="J355" s="1127">
        <v>1047387.66</v>
      </c>
      <c r="K355" s="1127">
        <v>182236.75</v>
      </c>
      <c r="L355" s="1127">
        <v>397882.89</v>
      </c>
      <c r="M355" s="1127">
        <v>1627507.3000000003</v>
      </c>
      <c r="N355" s="1127">
        <v>1040644.97</v>
      </c>
      <c r="O355" s="1127">
        <v>1068.3</v>
      </c>
      <c r="P355" s="1127">
        <v>531.9</v>
      </c>
    </row>
    <row r="356" spans="3:16" hidden="1">
      <c r="C356" s="1052"/>
      <c r="D356" s="172" t="str">
        <f>IF(Indice_index!$Z$1=1,"outubro","October")</f>
        <v>outubro</v>
      </c>
      <c r="E356" s="1126">
        <v>788</v>
      </c>
      <c r="F356" s="1126">
        <v>158</v>
      </c>
      <c r="G356" s="1126">
        <v>547</v>
      </c>
      <c r="H356" s="1126">
        <v>1493</v>
      </c>
      <c r="I356" s="1126">
        <v>909</v>
      </c>
      <c r="J356" s="1127">
        <v>718601.03</v>
      </c>
      <c r="K356" s="1127">
        <v>195071.44</v>
      </c>
      <c r="L356" s="1127">
        <v>275368.63</v>
      </c>
      <c r="M356" s="1127">
        <v>1189041.1000000001</v>
      </c>
      <c r="N356" s="1127">
        <v>914422.88</v>
      </c>
      <c r="O356" s="1127">
        <v>965.8</v>
      </c>
      <c r="P356" s="1127">
        <v>503.4</v>
      </c>
    </row>
    <row r="357" spans="3:16" hidden="1">
      <c r="C357" s="1052"/>
      <c r="D357" s="172" t="str">
        <f>IF(Indice_index!$Z$1=1,"novembro","November")</f>
        <v>novembro</v>
      </c>
      <c r="E357" s="1126">
        <v>646</v>
      </c>
      <c r="F357" s="1126">
        <v>82</v>
      </c>
      <c r="G357" s="1126">
        <v>767</v>
      </c>
      <c r="H357" s="1126">
        <v>1495</v>
      </c>
      <c r="I357" s="1126">
        <v>974</v>
      </c>
      <c r="J357" s="1127">
        <v>678062.34</v>
      </c>
      <c r="K357" s="1127">
        <v>78490.509999999995</v>
      </c>
      <c r="L357" s="1127">
        <v>407768.24</v>
      </c>
      <c r="M357" s="1127">
        <v>1164321.0900000001</v>
      </c>
      <c r="N357" s="1127">
        <v>1016231.87</v>
      </c>
      <c r="O357" s="1127">
        <v>1039.2</v>
      </c>
      <c r="P357" s="1127">
        <v>531.6</v>
      </c>
    </row>
    <row r="358" spans="3:16" hidden="1">
      <c r="C358" s="1052"/>
      <c r="D358" s="172" t="str">
        <f>IF(Indice_index!$Z$1=1,"dezembro","December")</f>
        <v>dezembro</v>
      </c>
      <c r="E358" s="1126">
        <v>647</v>
      </c>
      <c r="F358" s="1126">
        <v>185</v>
      </c>
      <c r="G358" s="1126">
        <v>719</v>
      </c>
      <c r="H358" s="1126">
        <v>1551</v>
      </c>
      <c r="I358" s="1126">
        <v>935</v>
      </c>
      <c r="J358" s="1127">
        <v>645465.87</v>
      </c>
      <c r="K358" s="1127">
        <v>219634.42</v>
      </c>
      <c r="L358" s="1127">
        <v>340514.09</v>
      </c>
      <c r="M358" s="1127">
        <v>1205614.3799999999</v>
      </c>
      <c r="N358" s="1127">
        <v>983801.21</v>
      </c>
      <c r="O358" s="1127">
        <v>1039.8</v>
      </c>
      <c r="P358" s="1127">
        <v>473.6</v>
      </c>
    </row>
    <row r="359" spans="3:16" hidden="1">
      <c r="C359" s="297">
        <v>2016</v>
      </c>
      <c r="D359" s="171"/>
      <c r="E359" s="1126"/>
      <c r="F359" s="1126"/>
      <c r="G359" s="1126"/>
      <c r="H359" s="1126"/>
      <c r="I359" s="1126"/>
      <c r="J359" s="1127"/>
      <c r="K359" s="1127"/>
      <c r="L359" s="1127"/>
      <c r="M359" s="1127"/>
      <c r="N359" s="1127"/>
      <c r="O359" s="1127"/>
      <c r="P359" s="1127"/>
    </row>
    <row r="360" spans="3:16" hidden="1">
      <c r="C360" s="1052"/>
      <c r="D360" s="172" t="str">
        <f>IF(Indice_index!$Z$1=1,"janeiro","January")</f>
        <v>janeiro</v>
      </c>
      <c r="E360" s="1126">
        <v>581</v>
      </c>
      <c r="F360" s="1126">
        <v>114</v>
      </c>
      <c r="G360" s="1126">
        <v>551</v>
      </c>
      <c r="H360" s="1126">
        <v>1246</v>
      </c>
      <c r="I360" s="1126">
        <v>898</v>
      </c>
      <c r="J360" s="1127">
        <v>556067.03</v>
      </c>
      <c r="K360" s="1127">
        <v>121174.09</v>
      </c>
      <c r="L360" s="1127">
        <v>286234.01</v>
      </c>
      <c r="M360" s="1127">
        <v>963475.13</v>
      </c>
      <c r="N360" s="1127">
        <v>965165.38</v>
      </c>
      <c r="O360" s="1127">
        <v>974.4</v>
      </c>
      <c r="P360" s="1127">
        <v>519.5</v>
      </c>
    </row>
    <row r="361" spans="3:16" hidden="1">
      <c r="C361" s="1052"/>
      <c r="D361" s="172" t="str">
        <f>IF(Indice_index!$Z$1=1,"fevereiro","February")</f>
        <v>fevereiro</v>
      </c>
      <c r="E361" s="1126">
        <v>608</v>
      </c>
      <c r="F361" s="1126">
        <v>81</v>
      </c>
      <c r="G361" s="1126">
        <v>608</v>
      </c>
      <c r="H361" s="1126">
        <v>1297</v>
      </c>
      <c r="I361" s="1126">
        <v>1117</v>
      </c>
      <c r="J361" s="1127">
        <v>577088.16</v>
      </c>
      <c r="K361" s="1127">
        <v>93877.26</v>
      </c>
      <c r="L361" s="1127">
        <v>298416.71999999997</v>
      </c>
      <c r="M361" s="1127">
        <v>969381.14</v>
      </c>
      <c r="N361" s="1127">
        <v>1166900.32</v>
      </c>
      <c r="O361" s="1127">
        <v>973.8</v>
      </c>
      <c r="P361" s="1127">
        <v>490.8</v>
      </c>
    </row>
    <row r="362" spans="3:16" hidden="1">
      <c r="C362" s="1052"/>
      <c r="D362" s="172" t="str">
        <f>IF(Indice_index!$Z$1=1,"março","March")</f>
        <v>março</v>
      </c>
      <c r="E362" s="1126">
        <v>743</v>
      </c>
      <c r="F362" s="1126">
        <v>142</v>
      </c>
      <c r="G362" s="1126">
        <v>663</v>
      </c>
      <c r="H362" s="1126">
        <v>1548</v>
      </c>
      <c r="I362" s="1126">
        <v>1172</v>
      </c>
      <c r="J362" s="1127">
        <v>757732.41</v>
      </c>
      <c r="K362" s="1127">
        <v>164022.62</v>
      </c>
      <c r="L362" s="1127">
        <v>348417.45</v>
      </c>
      <c r="M362" s="1127">
        <v>1270172.48</v>
      </c>
      <c r="N362" s="1127">
        <v>1212648.3999999999</v>
      </c>
      <c r="O362" s="1127">
        <v>1041.5</v>
      </c>
      <c r="P362" s="1127">
        <v>525.5</v>
      </c>
    </row>
    <row r="363" spans="3:16" hidden="1">
      <c r="C363" s="1052"/>
      <c r="D363" s="172" t="str">
        <f>IF(Indice_index!$Z$1=1,"abril","April")</f>
        <v>abril</v>
      </c>
      <c r="E363" s="1126">
        <v>796</v>
      </c>
      <c r="F363" s="1126">
        <v>145</v>
      </c>
      <c r="G363" s="1126">
        <v>810</v>
      </c>
      <c r="H363" s="1126">
        <v>1751</v>
      </c>
      <c r="I363" s="1126">
        <v>1163</v>
      </c>
      <c r="J363" s="1127">
        <v>709955.13</v>
      </c>
      <c r="K363" s="1127">
        <v>144923.67000000001</v>
      </c>
      <c r="L363" s="1127">
        <v>423348.57</v>
      </c>
      <c r="M363" s="1127">
        <v>1278227.3700000001</v>
      </c>
      <c r="N363" s="1127">
        <v>1280346.29</v>
      </c>
      <c r="O363" s="1127">
        <v>908.4</v>
      </c>
      <c r="P363" s="1127">
        <v>522.70000000000005</v>
      </c>
    </row>
    <row r="364" spans="3:16" hidden="1">
      <c r="C364" s="1052"/>
      <c r="D364" s="172" t="str">
        <f>IF(Indice_index!$Z$1=1,"maio","May")</f>
        <v>maio</v>
      </c>
      <c r="E364" s="1126">
        <v>540</v>
      </c>
      <c r="F364" s="1126">
        <v>127</v>
      </c>
      <c r="G364" s="1126">
        <v>707</v>
      </c>
      <c r="H364" s="1126">
        <v>1374</v>
      </c>
      <c r="I364" s="1126">
        <v>1143</v>
      </c>
      <c r="J364" s="1127">
        <v>447117.33</v>
      </c>
      <c r="K364" s="1127">
        <v>130857.16</v>
      </c>
      <c r="L364" s="1127">
        <v>347806.21</v>
      </c>
      <c r="M364" s="1127">
        <v>925780.7</v>
      </c>
      <c r="N364" s="1127">
        <v>1225053.6299999999</v>
      </c>
      <c r="O364" s="1127">
        <v>866.5</v>
      </c>
      <c r="P364" s="1127">
        <v>491.9</v>
      </c>
    </row>
    <row r="365" spans="3:16" hidden="1">
      <c r="C365" s="1052"/>
      <c r="D365" s="172" t="str">
        <f>IF(Indice_index!$Z$1=1,"junho","June")</f>
        <v>junho</v>
      </c>
      <c r="E365" s="1126">
        <v>602</v>
      </c>
      <c r="F365" s="1126">
        <v>151</v>
      </c>
      <c r="G365" s="1126">
        <v>906</v>
      </c>
      <c r="H365" s="1128">
        <v>1659</v>
      </c>
      <c r="I365" s="1126">
        <v>1092</v>
      </c>
      <c r="J365" s="1127">
        <v>463727.65</v>
      </c>
      <c r="K365" s="1127">
        <v>137148.81</v>
      </c>
      <c r="L365" s="1127">
        <v>458482.88</v>
      </c>
      <c r="M365" s="1129">
        <v>1059359.3400000001</v>
      </c>
      <c r="N365" s="1127">
        <v>1125006.02</v>
      </c>
      <c r="O365" s="229">
        <v>798</v>
      </c>
      <c r="P365" s="229">
        <v>506.1</v>
      </c>
    </row>
    <row r="366" spans="3:16" hidden="1">
      <c r="C366" s="1052"/>
      <c r="D366" s="172" t="str">
        <f>IF(Indice_index!$Z$1=1,"julho","July")</f>
        <v>julho</v>
      </c>
      <c r="E366" s="1126">
        <v>489</v>
      </c>
      <c r="F366" s="1126">
        <v>172</v>
      </c>
      <c r="G366" s="1126">
        <v>633</v>
      </c>
      <c r="H366" s="1128">
        <v>1294</v>
      </c>
      <c r="I366" s="1126">
        <v>957</v>
      </c>
      <c r="J366" s="1127">
        <v>416511.64</v>
      </c>
      <c r="K366" s="1127">
        <v>160737.88</v>
      </c>
      <c r="L366" s="1127">
        <v>316744.83</v>
      </c>
      <c r="M366" s="1129">
        <v>893994.35</v>
      </c>
      <c r="N366" s="1127">
        <v>1020151.33</v>
      </c>
      <c r="O366" s="229">
        <v>873.3</v>
      </c>
      <c r="P366" s="229">
        <v>500.4</v>
      </c>
    </row>
    <row r="367" spans="3:16" hidden="1">
      <c r="C367" s="1052"/>
      <c r="D367" s="172" t="str">
        <f>IF(Indice_index!$Z$1=1,"agosto","August")</f>
        <v>agosto</v>
      </c>
      <c r="E367" s="1126">
        <v>503</v>
      </c>
      <c r="F367" s="1126">
        <v>167</v>
      </c>
      <c r="G367" s="1126">
        <v>559</v>
      </c>
      <c r="H367" s="1128">
        <v>1229</v>
      </c>
      <c r="I367" s="1126">
        <v>911</v>
      </c>
      <c r="J367" s="1127">
        <v>441955.65</v>
      </c>
      <c r="K367" s="1127">
        <v>168720.69</v>
      </c>
      <c r="L367" s="1127">
        <v>270402.07</v>
      </c>
      <c r="M367" s="1129">
        <v>881078.41000000015</v>
      </c>
      <c r="N367" s="1127">
        <v>989137.72</v>
      </c>
      <c r="O367" s="229">
        <v>911.5</v>
      </c>
      <c r="P367" s="229">
        <v>483.7</v>
      </c>
    </row>
    <row r="368" spans="3:16" hidden="1">
      <c r="C368" s="1052"/>
      <c r="D368" s="172" t="str">
        <f>IF(Indice_index!$Z$1=1,"setembro","September")</f>
        <v>setembro</v>
      </c>
      <c r="E368" s="1126">
        <v>561</v>
      </c>
      <c r="F368" s="1126">
        <v>197</v>
      </c>
      <c r="G368" s="1126">
        <v>647</v>
      </c>
      <c r="H368" s="1128">
        <v>1405</v>
      </c>
      <c r="I368" s="1126">
        <v>966</v>
      </c>
      <c r="J368" s="1127">
        <v>590543.46</v>
      </c>
      <c r="K368" s="1127">
        <v>187237.62</v>
      </c>
      <c r="L368" s="1127">
        <v>341862.92</v>
      </c>
      <c r="M368" s="1129">
        <v>1119644</v>
      </c>
      <c r="N368" s="1127">
        <v>1028801.2</v>
      </c>
      <c r="O368" s="229">
        <v>1026.0999999999999</v>
      </c>
      <c r="P368" s="229">
        <v>528.4</v>
      </c>
    </row>
    <row r="369" spans="3:29" hidden="1">
      <c r="C369" s="1052"/>
      <c r="D369" s="172" t="str">
        <f>IF(Indice_index!$Z$1=1,"outubro","October")</f>
        <v>outubro</v>
      </c>
      <c r="E369" s="1126">
        <v>523</v>
      </c>
      <c r="F369" s="1126">
        <v>146</v>
      </c>
      <c r="G369" s="1126">
        <v>491</v>
      </c>
      <c r="H369" s="1128">
        <v>1160</v>
      </c>
      <c r="I369" s="1126">
        <v>1004</v>
      </c>
      <c r="J369" s="1127">
        <v>481812.93</v>
      </c>
      <c r="K369" s="1127">
        <v>139106.82</v>
      </c>
      <c r="L369" s="1127">
        <v>246229.43</v>
      </c>
      <c r="M369" s="1129">
        <v>867149.18</v>
      </c>
      <c r="N369" s="1127">
        <v>1043795.75</v>
      </c>
      <c r="O369" s="229">
        <v>928.1</v>
      </c>
      <c r="P369" s="229">
        <v>501.5</v>
      </c>
    </row>
    <row r="370" spans="3:29" hidden="1">
      <c r="C370" s="1052"/>
      <c r="D370" s="172" t="str">
        <f>IF(Indice_index!$Z$1=1,"novembro","November")</f>
        <v>novembro</v>
      </c>
      <c r="E370" s="1126">
        <v>450</v>
      </c>
      <c r="F370" s="1126">
        <v>80</v>
      </c>
      <c r="G370" s="1126">
        <v>774</v>
      </c>
      <c r="H370" s="1128">
        <v>1304</v>
      </c>
      <c r="I370" s="1126">
        <v>946</v>
      </c>
      <c r="J370" s="1127">
        <v>408562.65</v>
      </c>
      <c r="K370" s="1127">
        <v>72794.44</v>
      </c>
      <c r="L370" s="1127">
        <v>390158.55</v>
      </c>
      <c r="M370" s="1129">
        <v>871515.61</v>
      </c>
      <c r="N370" s="1127">
        <v>977121.49</v>
      </c>
      <c r="O370" s="229">
        <v>908.2</v>
      </c>
      <c r="P370" s="229">
        <v>504.1</v>
      </c>
    </row>
    <row r="371" spans="3:29" hidden="1">
      <c r="C371" s="1052"/>
      <c r="D371" s="172" t="str">
        <f>IF(Indice_index!$Z$1=1,"dezembro","December")</f>
        <v>dezembro</v>
      </c>
      <c r="E371" s="1126">
        <v>634</v>
      </c>
      <c r="F371" s="1126">
        <v>175</v>
      </c>
      <c r="G371" s="1126">
        <v>650</v>
      </c>
      <c r="H371" s="1128">
        <v>1459</v>
      </c>
      <c r="I371" s="1126">
        <v>1013</v>
      </c>
      <c r="J371" s="1127">
        <v>637254.05000000005</v>
      </c>
      <c r="K371" s="1127">
        <v>156384.87</v>
      </c>
      <c r="L371" s="1127">
        <v>321538.2</v>
      </c>
      <c r="M371" s="1129">
        <v>1115177.1200000001</v>
      </c>
      <c r="N371" s="1127">
        <v>1087068.3899999999</v>
      </c>
      <c r="O371" s="229">
        <v>981</v>
      </c>
      <c r="P371" s="229">
        <v>494.7</v>
      </c>
    </row>
    <row r="372" spans="3:29" hidden="1">
      <c r="C372" s="297">
        <v>2017</v>
      </c>
      <c r="D372" s="171"/>
      <c r="E372" s="1126"/>
      <c r="F372" s="1126"/>
      <c r="G372" s="1126"/>
      <c r="H372" s="1126"/>
      <c r="I372" s="1126"/>
      <c r="J372" s="1127"/>
      <c r="K372" s="1127"/>
      <c r="L372" s="1127"/>
      <c r="M372" s="1127"/>
      <c r="N372" s="1127"/>
      <c r="O372" s="1127"/>
      <c r="P372" s="1127"/>
    </row>
    <row r="373" spans="3:29" s="171" customFormat="1" ht="11.25" hidden="1">
      <c r="C373" s="1130"/>
      <c r="D373" s="172" t="str">
        <f>IF(Indice_index!$Z$1=1,"janeiro","January")</f>
        <v>janeiro</v>
      </c>
      <c r="E373" s="1126">
        <v>786</v>
      </c>
      <c r="F373" s="1126">
        <v>140</v>
      </c>
      <c r="G373" s="1126">
        <v>593</v>
      </c>
      <c r="H373" s="1126">
        <v>1519</v>
      </c>
      <c r="I373" s="1126">
        <v>977</v>
      </c>
      <c r="J373" s="1127">
        <v>578370.84</v>
      </c>
      <c r="K373" s="1127">
        <v>138294.88</v>
      </c>
      <c r="L373" s="1127">
        <v>296116.46999999997</v>
      </c>
      <c r="M373" s="1127">
        <v>1012782.19</v>
      </c>
      <c r="N373" s="1127">
        <v>1011409.09</v>
      </c>
      <c r="O373" s="1127">
        <v>773.9</v>
      </c>
      <c r="P373" s="1127">
        <v>499.4</v>
      </c>
      <c r="R373" s="229"/>
      <c r="S373" s="229"/>
      <c r="T373" s="229"/>
      <c r="U373" s="229"/>
      <c r="V373" s="229"/>
      <c r="W373" s="229"/>
      <c r="X373" s="229"/>
      <c r="Y373" s="229"/>
      <c r="Z373" s="229"/>
      <c r="AA373" s="229"/>
      <c r="AB373" s="229"/>
      <c r="AC373" s="229"/>
    </row>
    <row r="374" spans="3:29" s="171" customFormat="1" ht="11.25" hidden="1">
      <c r="C374" s="1130"/>
      <c r="D374" s="172" t="str">
        <f>IF(Indice_index!$Z$1=1,"fevereiro","February")</f>
        <v>fevereiro</v>
      </c>
      <c r="E374" s="1126">
        <v>573</v>
      </c>
      <c r="F374" s="1126">
        <v>127</v>
      </c>
      <c r="G374" s="1126">
        <v>756</v>
      </c>
      <c r="H374" s="1126">
        <v>1456</v>
      </c>
      <c r="I374" s="1126">
        <v>1520</v>
      </c>
      <c r="J374" s="1127">
        <v>582431.9</v>
      </c>
      <c r="K374" s="1127">
        <v>128892.18</v>
      </c>
      <c r="L374" s="1127">
        <v>394383.93</v>
      </c>
      <c r="M374" s="1127">
        <v>1105708.01</v>
      </c>
      <c r="N374" s="1127">
        <v>1609971.21</v>
      </c>
      <c r="O374" s="1127">
        <v>1016.2</v>
      </c>
      <c r="P374" s="1127">
        <v>521.70000000000005</v>
      </c>
      <c r="R374" s="229"/>
      <c r="S374" s="229"/>
      <c r="T374" s="229"/>
      <c r="U374" s="229"/>
      <c r="V374" s="229"/>
      <c r="W374" s="229"/>
      <c r="X374" s="229"/>
      <c r="Y374" s="229"/>
      <c r="Z374" s="229"/>
      <c r="AA374" s="229"/>
      <c r="AB374" s="229"/>
      <c r="AC374" s="229"/>
    </row>
    <row r="375" spans="3:29" ht="11.25" hidden="1">
      <c r="C375" s="297"/>
      <c r="D375" s="172" t="str">
        <f>IF(Indice_index!$Z$1=1,"março","March")</f>
        <v>março</v>
      </c>
      <c r="E375" s="1126">
        <v>374</v>
      </c>
      <c r="F375" s="1126">
        <v>148</v>
      </c>
      <c r="G375" s="1126">
        <v>899</v>
      </c>
      <c r="H375" s="1126">
        <v>1421</v>
      </c>
      <c r="I375" s="1126">
        <v>1377</v>
      </c>
      <c r="J375" s="1127">
        <v>394397.49</v>
      </c>
      <c r="K375" s="1127">
        <v>160746.25</v>
      </c>
      <c r="L375" s="1127">
        <v>461100.92</v>
      </c>
      <c r="M375" s="1127">
        <v>1016244.66</v>
      </c>
      <c r="N375" s="1127">
        <v>1410294.92</v>
      </c>
      <c r="O375" s="1127">
        <v>1063.5</v>
      </c>
      <c r="P375" s="1127">
        <v>512.9</v>
      </c>
      <c r="X375" s="229"/>
      <c r="Y375" s="229"/>
      <c r="Z375" s="229"/>
      <c r="AA375" s="229"/>
    </row>
    <row r="376" spans="3:29" ht="11.25" hidden="1">
      <c r="C376" s="297"/>
      <c r="D376" s="172" t="str">
        <f>IF(Indice_index!$Z$1=1,"abril","April")</f>
        <v>abril</v>
      </c>
      <c r="E376" s="1126">
        <v>541</v>
      </c>
      <c r="F376" s="1126">
        <v>157</v>
      </c>
      <c r="G376" s="1126">
        <v>820</v>
      </c>
      <c r="H376" s="1126">
        <v>1518</v>
      </c>
      <c r="I376" s="1126">
        <v>1227</v>
      </c>
      <c r="J376" s="1127">
        <v>649425</v>
      </c>
      <c r="K376" s="1127">
        <v>142514.06</v>
      </c>
      <c r="L376" s="1127">
        <v>435970.18</v>
      </c>
      <c r="M376" s="1127">
        <v>1227909.24</v>
      </c>
      <c r="N376" s="1127">
        <v>1306714.6399999999</v>
      </c>
      <c r="O376" s="1127">
        <v>1134.5999999999999</v>
      </c>
      <c r="P376" s="1127">
        <v>531.70000000000005</v>
      </c>
      <c r="X376" s="229"/>
      <c r="Y376" s="229"/>
      <c r="Z376" s="229"/>
      <c r="AA376" s="229"/>
    </row>
    <row r="377" spans="3:29" ht="12.75" hidden="1" customHeight="1">
      <c r="C377" s="297"/>
      <c r="D377" s="172" t="str">
        <f>IF(Indice_index!$Z$1=1,"maio","May")</f>
        <v>maio</v>
      </c>
      <c r="E377" s="1126">
        <v>787</v>
      </c>
      <c r="F377" s="1126">
        <v>137</v>
      </c>
      <c r="G377" s="1126">
        <v>667</v>
      </c>
      <c r="H377" s="1126">
        <v>1591</v>
      </c>
      <c r="I377" s="1126">
        <v>965</v>
      </c>
      <c r="J377" s="1127">
        <v>1126009.55</v>
      </c>
      <c r="K377" s="1127">
        <v>142162</v>
      </c>
      <c r="L377" s="1127">
        <v>344238.68</v>
      </c>
      <c r="M377" s="1127">
        <v>1612410.23</v>
      </c>
      <c r="N377" s="1127">
        <v>1013052.58</v>
      </c>
      <c r="O377" s="1127">
        <v>1372.5</v>
      </c>
      <c r="P377" s="1127">
        <v>516.1</v>
      </c>
      <c r="X377" s="229"/>
      <c r="Y377" s="229"/>
      <c r="Z377" s="229"/>
      <c r="AA377" s="229"/>
    </row>
    <row r="378" spans="3:29" ht="12.75" hidden="1" customHeight="1">
      <c r="C378" s="297"/>
      <c r="D378" s="172" t="str">
        <f>IF(Indice_index!$Z$1=1,"junho","June")</f>
        <v>junho</v>
      </c>
      <c r="E378" s="1126">
        <v>1047</v>
      </c>
      <c r="F378" s="1126">
        <v>142</v>
      </c>
      <c r="G378" s="1126">
        <v>828</v>
      </c>
      <c r="H378" s="1126">
        <v>2017</v>
      </c>
      <c r="I378" s="1126">
        <v>1057</v>
      </c>
      <c r="J378" s="1127">
        <v>1177461.47</v>
      </c>
      <c r="K378" s="1127">
        <v>163205.15</v>
      </c>
      <c r="L378" s="1127">
        <v>427465.75</v>
      </c>
      <c r="M378" s="1127">
        <v>1768132.37</v>
      </c>
      <c r="N378" s="1127">
        <v>1121550.1299999999</v>
      </c>
      <c r="O378" s="1127">
        <v>1127.5999999999999</v>
      </c>
      <c r="P378" s="1127">
        <v>516.29999999999995</v>
      </c>
      <c r="X378" s="229"/>
      <c r="Y378" s="229"/>
      <c r="Z378" s="229"/>
      <c r="AA378" s="229"/>
    </row>
    <row r="379" spans="3:29" ht="12.75" hidden="1" customHeight="1">
      <c r="C379" s="297"/>
      <c r="D379" s="172" t="str">
        <f>IF(Indice_index!$Z$1=1,"julho","July")</f>
        <v>julho</v>
      </c>
      <c r="E379" s="1126">
        <v>1387</v>
      </c>
      <c r="F379" s="1126">
        <v>166</v>
      </c>
      <c r="G379" s="1126">
        <v>557</v>
      </c>
      <c r="H379" s="1126">
        <v>2110</v>
      </c>
      <c r="I379" s="1126">
        <v>988</v>
      </c>
      <c r="J379" s="1127">
        <v>1562695.69</v>
      </c>
      <c r="K379" s="1127">
        <v>159216.19</v>
      </c>
      <c r="L379" s="1127">
        <v>302530.78999999998</v>
      </c>
      <c r="M379" s="1127">
        <v>2024442.67</v>
      </c>
      <c r="N379" s="1127">
        <v>1023568.02</v>
      </c>
      <c r="O379" s="1127">
        <v>1108.8</v>
      </c>
      <c r="P379" s="1127">
        <v>543.1</v>
      </c>
      <c r="X379" s="229"/>
      <c r="Y379" s="229"/>
      <c r="Z379" s="229"/>
      <c r="AA379" s="229"/>
    </row>
    <row r="380" spans="3:29" ht="12.75" hidden="1" customHeight="1">
      <c r="C380" s="297"/>
      <c r="D380" s="172" t="str">
        <f>IF(Indice_index!$Z$1=1,"agosto","August")</f>
        <v>agosto</v>
      </c>
      <c r="E380" s="1126">
        <v>1277</v>
      </c>
      <c r="F380" s="1126">
        <v>113</v>
      </c>
      <c r="G380" s="1126">
        <v>567</v>
      </c>
      <c r="H380" s="1126">
        <v>1957</v>
      </c>
      <c r="I380" s="1126">
        <v>995</v>
      </c>
      <c r="J380" s="1127">
        <v>1333807.08</v>
      </c>
      <c r="K380" s="1127">
        <v>126989.99</v>
      </c>
      <c r="L380" s="1127">
        <v>297063.33</v>
      </c>
      <c r="M380" s="1127">
        <v>1757860.4</v>
      </c>
      <c r="N380" s="1127">
        <v>914810.8</v>
      </c>
      <c r="O380" s="1127">
        <v>1050.9000000000001</v>
      </c>
      <c r="P380" s="1127">
        <v>523.9</v>
      </c>
      <c r="X380" s="229"/>
      <c r="Y380" s="229"/>
      <c r="Z380" s="229"/>
      <c r="AA380" s="229"/>
    </row>
    <row r="381" spans="3:29" ht="12.75" hidden="1" customHeight="1">
      <c r="C381" s="297"/>
      <c r="D381" s="172" t="str">
        <f>IF(Indice_index!$Z$1=1,"setembro","September")</f>
        <v>setembro</v>
      </c>
      <c r="E381" s="1126">
        <v>935</v>
      </c>
      <c r="F381" s="1126">
        <v>180</v>
      </c>
      <c r="G381" s="1126">
        <v>648</v>
      </c>
      <c r="H381" s="1126">
        <v>1763</v>
      </c>
      <c r="I381" s="1126">
        <v>925</v>
      </c>
      <c r="J381" s="1127">
        <v>1395259.46</v>
      </c>
      <c r="K381" s="1127">
        <v>185588.5</v>
      </c>
      <c r="L381" s="1127">
        <v>325847.75</v>
      </c>
      <c r="M381" s="1127">
        <v>1906695.71</v>
      </c>
      <c r="N381" s="1127">
        <v>1001667.37</v>
      </c>
      <c r="O381" s="1127">
        <v>1417.8</v>
      </c>
      <c r="P381" s="1127">
        <v>502.9</v>
      </c>
      <c r="X381" s="229"/>
      <c r="Y381" s="229"/>
      <c r="Z381" s="229"/>
      <c r="AA381" s="229"/>
    </row>
    <row r="382" spans="3:29" ht="12.75" hidden="1" customHeight="1">
      <c r="C382" s="297"/>
      <c r="D382" s="172" t="str">
        <f>IF(Indice_index!$Z$1=1,"outubro","October")</f>
        <v>outubro</v>
      </c>
      <c r="E382" s="1126">
        <v>1011</v>
      </c>
      <c r="F382" s="1126">
        <v>67</v>
      </c>
      <c r="G382" s="1126">
        <v>4020</v>
      </c>
      <c r="H382" s="1126">
        <v>5098</v>
      </c>
      <c r="I382" s="1126">
        <v>941</v>
      </c>
      <c r="J382" s="1127">
        <v>1275119.77</v>
      </c>
      <c r="K382" s="1127">
        <v>80781.440000000002</v>
      </c>
      <c r="L382" s="1127">
        <v>886881.41</v>
      </c>
      <c r="M382" s="1127">
        <v>2242782.62</v>
      </c>
      <c r="N382" s="1127">
        <v>1009636.48</v>
      </c>
      <c r="O382" s="1127">
        <v>1257.8</v>
      </c>
      <c r="P382" s="1127">
        <v>220.6</v>
      </c>
      <c r="X382" s="229"/>
      <c r="Y382" s="229"/>
      <c r="Z382" s="229"/>
      <c r="AA382" s="229"/>
    </row>
    <row r="383" spans="3:29" s="171" customFormat="1" ht="12.75" hidden="1" customHeight="1">
      <c r="C383" s="1130"/>
      <c r="D383" s="172" t="str">
        <f>IF(Indice_index!$Z$1=1,"novembro","November")</f>
        <v>novembro</v>
      </c>
      <c r="E383" s="1126">
        <v>1160</v>
      </c>
      <c r="F383" s="1126">
        <v>161</v>
      </c>
      <c r="G383" s="1126">
        <v>717</v>
      </c>
      <c r="H383" s="1126">
        <v>2038</v>
      </c>
      <c r="I383" s="1126">
        <v>979</v>
      </c>
      <c r="J383" s="1127">
        <v>1888615.66</v>
      </c>
      <c r="K383" s="1127">
        <v>155626.68</v>
      </c>
      <c r="L383" s="1127">
        <v>360787.04</v>
      </c>
      <c r="M383" s="1127">
        <v>2405029.38</v>
      </c>
      <c r="N383" s="1127">
        <v>1056929.01</v>
      </c>
      <c r="O383" s="1127">
        <v>1547.5</v>
      </c>
      <c r="P383" s="1127">
        <v>503.2</v>
      </c>
      <c r="R383" s="229"/>
      <c r="S383" s="229"/>
      <c r="T383" s="229"/>
      <c r="U383" s="229"/>
      <c r="V383" s="229"/>
      <c r="W383" s="229"/>
      <c r="X383" s="229"/>
      <c r="Y383" s="229"/>
      <c r="Z383" s="229"/>
      <c r="AA383" s="229"/>
      <c r="AB383" s="229"/>
      <c r="AC383" s="229"/>
    </row>
    <row r="384" spans="3:29" ht="11.25" hidden="1">
      <c r="C384" s="1052"/>
      <c r="D384" s="172" t="str">
        <f>IF(Indice_index!$Z$1=1,"dezembro","December")</f>
        <v>dezembro</v>
      </c>
      <c r="E384" s="1126">
        <v>698</v>
      </c>
      <c r="F384" s="1126">
        <v>184</v>
      </c>
      <c r="G384" s="1126">
        <v>851</v>
      </c>
      <c r="H384" s="1126">
        <v>1733</v>
      </c>
      <c r="I384" s="1126">
        <v>1084</v>
      </c>
      <c r="J384" s="1127">
        <v>798282.51</v>
      </c>
      <c r="K384" s="1127">
        <v>152255.45000000001</v>
      </c>
      <c r="L384" s="1127">
        <v>447597.94</v>
      </c>
      <c r="M384" s="1127">
        <v>1398135.9</v>
      </c>
      <c r="N384" s="1127">
        <v>1138241.57</v>
      </c>
      <c r="O384" s="1127">
        <v>1077.7</v>
      </c>
      <c r="P384" s="1127">
        <v>526</v>
      </c>
      <c r="X384" s="229"/>
      <c r="Y384" s="229"/>
      <c r="Z384" s="229"/>
      <c r="AA384" s="229"/>
    </row>
    <row r="385" spans="3:29" ht="15" hidden="1" customHeight="1">
      <c r="C385" s="297">
        <v>2018</v>
      </c>
      <c r="D385" s="171"/>
      <c r="E385" s="1126"/>
      <c r="F385" s="1126"/>
      <c r="G385" s="1126"/>
      <c r="H385" s="1126"/>
      <c r="I385" s="1126"/>
      <c r="J385" s="1127"/>
      <c r="K385" s="1127"/>
      <c r="L385" s="1127"/>
      <c r="M385" s="1127"/>
      <c r="N385" s="1127"/>
      <c r="O385" s="1127"/>
      <c r="P385" s="1127"/>
    </row>
    <row r="386" spans="3:29" s="171" customFormat="1" ht="15" hidden="1" customHeight="1">
      <c r="C386" s="1130"/>
      <c r="D386" s="172" t="str">
        <f>IF(Indice_index!$Z$1=1,"janeiro","January")</f>
        <v>janeiro</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130"/>
      <c r="D387" s="172" t="str">
        <f>IF(Indice_index!$Z$1=1,"fevereiro","February")</f>
        <v>fevereiro</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março</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abril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maio</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junho</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julho</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agosto</v>
      </c>
      <c r="E393" s="1126">
        <v>808</v>
      </c>
      <c r="F393" s="1126">
        <v>99</v>
      </c>
      <c r="G393" s="1126">
        <v>576</v>
      </c>
      <c r="H393" s="1126">
        <v>1483</v>
      </c>
      <c r="I393" s="1126">
        <v>948</v>
      </c>
      <c r="J393" s="1127">
        <v>1121156.8400000001</v>
      </c>
      <c r="K393" s="1127">
        <v>125035.88</v>
      </c>
      <c r="L393" s="1127">
        <v>296873.08</v>
      </c>
      <c r="M393" s="1127">
        <v>1543065.8</v>
      </c>
      <c r="N393" s="1127">
        <v>997270.6</v>
      </c>
      <c r="O393" s="1127">
        <v>1374</v>
      </c>
      <c r="P393" s="1127">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setembro</v>
      </c>
      <c r="E394" s="1126">
        <v>898</v>
      </c>
      <c r="F394" s="1126">
        <v>139</v>
      </c>
      <c r="G394" s="1126">
        <v>635</v>
      </c>
      <c r="H394" s="1126">
        <v>1672</v>
      </c>
      <c r="I394" s="1126">
        <v>1000</v>
      </c>
      <c r="J394" s="1127">
        <v>1227038.67</v>
      </c>
      <c r="K394" s="1127">
        <v>134826.20000000001</v>
      </c>
      <c r="L394" s="1127">
        <v>335400.65999999997</v>
      </c>
      <c r="M394" s="1127">
        <v>1697265.53</v>
      </c>
      <c r="N394" s="1127">
        <v>1112186.8</v>
      </c>
      <c r="O394" s="1127">
        <v>1313.3</v>
      </c>
      <c r="P394" s="1127">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outubro</v>
      </c>
      <c r="E395" s="1126">
        <v>595</v>
      </c>
      <c r="F395" s="1126">
        <v>90</v>
      </c>
      <c r="G395" s="1126">
        <v>549</v>
      </c>
      <c r="H395" s="1126">
        <v>1234</v>
      </c>
      <c r="I395" s="1126">
        <v>1098</v>
      </c>
      <c r="J395" s="1127">
        <v>853401.65</v>
      </c>
      <c r="K395" s="1127">
        <v>109404.93</v>
      </c>
      <c r="L395" s="1127">
        <v>297062.19</v>
      </c>
      <c r="M395" s="1127">
        <v>1259868.77</v>
      </c>
      <c r="N395" s="1127">
        <v>1220062.75</v>
      </c>
      <c r="O395" s="1127">
        <v>1405.6</v>
      </c>
      <c r="P395" s="1127">
        <v>541.1</v>
      </c>
      <c r="R395" s="230"/>
      <c r="S395" s="230"/>
      <c r="T395" s="230"/>
      <c r="U395" s="230"/>
      <c r="V395" s="230"/>
      <c r="W395" s="230"/>
      <c r="X395" s="230"/>
      <c r="Y395" s="230"/>
      <c r="Z395" s="230"/>
      <c r="AA395" s="230"/>
      <c r="AB395" s="230"/>
      <c r="AC395" s="230"/>
    </row>
    <row r="396" spans="3:29" s="171" customFormat="1" ht="15" hidden="1" customHeight="1">
      <c r="C396" s="1130"/>
      <c r="D396" s="172" t="str">
        <f>IF(Indice_index!$Z$1=1,"novembro","November")</f>
        <v>novembro</v>
      </c>
      <c r="E396" s="1126">
        <v>721</v>
      </c>
      <c r="F396" s="1126">
        <v>134</v>
      </c>
      <c r="G396" s="1126">
        <v>920</v>
      </c>
      <c r="H396" s="1126">
        <v>1775</v>
      </c>
      <c r="I396" s="1126">
        <v>979</v>
      </c>
      <c r="J396" s="1127">
        <v>913278.22</v>
      </c>
      <c r="K396" s="1127">
        <v>154092.66</v>
      </c>
      <c r="L396" s="1127">
        <v>529161.11</v>
      </c>
      <c r="M396" s="1127">
        <v>1596531.99</v>
      </c>
      <c r="N396" s="1127">
        <v>1070531.94</v>
      </c>
      <c r="O396" s="1127">
        <v>1248.4000000000001</v>
      </c>
      <c r="P396" s="1127">
        <v>575.20000000000005</v>
      </c>
      <c r="R396" s="230"/>
      <c r="S396" s="230"/>
      <c r="T396" s="230"/>
      <c r="U396" s="230"/>
      <c r="V396" s="230"/>
      <c r="W396" s="230"/>
      <c r="X396" s="230"/>
      <c r="Y396" s="230"/>
      <c r="Z396" s="230"/>
      <c r="AA396" s="230"/>
      <c r="AB396" s="230"/>
      <c r="AC396" s="230"/>
    </row>
    <row r="397" spans="3:29" ht="15" hidden="1" customHeight="1">
      <c r="C397" s="1052"/>
      <c r="D397" s="172" t="str">
        <f>IF(Indice_index!$Z$1=1,"dezembro","December")</f>
        <v>dezembro</v>
      </c>
      <c r="E397" s="1126">
        <v>876</v>
      </c>
      <c r="F397" s="1126">
        <v>218</v>
      </c>
      <c r="G397" s="1126">
        <v>830</v>
      </c>
      <c r="H397" s="1126">
        <v>1924</v>
      </c>
      <c r="I397" s="1126">
        <v>1013</v>
      </c>
      <c r="J397" s="1127">
        <v>1300968.45</v>
      </c>
      <c r="K397" s="1127">
        <v>230659.94</v>
      </c>
      <c r="L397" s="1127">
        <v>471993.47</v>
      </c>
      <c r="M397" s="1127">
        <v>2003621.86</v>
      </c>
      <c r="N397" s="1127">
        <v>1096958.03</v>
      </c>
      <c r="O397" s="1127">
        <v>1400</v>
      </c>
      <c r="P397" s="1127">
        <v>568.70000000000005</v>
      </c>
      <c r="R397" s="230"/>
      <c r="S397" s="230"/>
      <c r="T397" s="230"/>
      <c r="U397" s="230"/>
      <c r="V397" s="230"/>
      <c r="W397" s="230"/>
      <c r="X397" s="230"/>
      <c r="Y397" s="230"/>
      <c r="Z397" s="230"/>
      <c r="AA397" s="230"/>
      <c r="AB397" s="230"/>
      <c r="AC397" s="230"/>
    </row>
    <row r="398" spans="3:29" ht="15" customHeight="1">
      <c r="C398" s="297">
        <v>2019</v>
      </c>
      <c r="D398" s="171"/>
      <c r="E398" s="1126"/>
      <c r="F398" s="1126"/>
      <c r="G398" s="1126"/>
      <c r="H398" s="1126"/>
      <c r="I398" s="1126"/>
      <c r="J398" s="1127"/>
      <c r="K398" s="1127"/>
      <c r="L398" s="1127"/>
      <c r="M398" s="1127"/>
      <c r="N398" s="1127"/>
      <c r="O398" s="1127"/>
      <c r="P398" s="1127"/>
      <c r="R398" s="230"/>
      <c r="S398" s="230"/>
      <c r="T398" s="230"/>
      <c r="U398" s="230"/>
      <c r="V398" s="230"/>
      <c r="W398" s="230"/>
      <c r="X398" s="230"/>
      <c r="Y398" s="230"/>
      <c r="Z398" s="230"/>
      <c r="AA398" s="230"/>
      <c r="AB398" s="230"/>
      <c r="AC398" s="230"/>
    </row>
    <row r="399" spans="3:29" s="171" customFormat="1" ht="15" customHeight="1">
      <c r="C399" s="1130"/>
      <c r="D399" s="172" t="str">
        <f>IF(Indice_index!$Z$1=1,"janeiro","January")</f>
        <v>janeiro</v>
      </c>
      <c r="E399" s="1131">
        <v>800</v>
      </c>
      <c r="F399" s="1131">
        <v>175</v>
      </c>
      <c r="G399" s="1131">
        <v>760</v>
      </c>
      <c r="H399" s="1131">
        <v>1735</v>
      </c>
      <c r="I399" s="1131">
        <v>1018</v>
      </c>
      <c r="J399" s="1132">
        <v>1089572.17</v>
      </c>
      <c r="K399" s="1132">
        <v>171869</v>
      </c>
      <c r="L399" s="1132">
        <v>395310.99</v>
      </c>
      <c r="M399" s="1132">
        <v>1656752.16</v>
      </c>
      <c r="N399" s="1132">
        <v>1079656.3899999999</v>
      </c>
      <c r="O399" s="1132">
        <v>1293.8</v>
      </c>
      <c r="P399" s="1132">
        <v>520.1</v>
      </c>
      <c r="R399" s="230"/>
      <c r="S399" s="230"/>
      <c r="T399" s="230"/>
      <c r="U399" s="230"/>
      <c r="V399" s="230"/>
      <c r="W399" s="230"/>
      <c r="X399" s="230"/>
      <c r="Y399" s="230"/>
      <c r="Z399" s="230"/>
      <c r="AA399" s="230"/>
      <c r="AB399" s="230"/>
      <c r="AC399" s="230"/>
    </row>
    <row r="400" spans="3:29" s="171" customFormat="1" ht="15" customHeight="1">
      <c r="C400" s="1130"/>
      <c r="D400" s="172" t="str">
        <f>IF(Indice_index!$Z$1=1,"fevereiro","February")</f>
        <v>fevereiro</v>
      </c>
      <c r="E400" s="1131">
        <v>681</v>
      </c>
      <c r="F400" s="1131">
        <v>166</v>
      </c>
      <c r="G400" s="1131">
        <v>899</v>
      </c>
      <c r="H400" s="1131">
        <v>1746</v>
      </c>
      <c r="I400" s="1131">
        <v>1239</v>
      </c>
      <c r="J400" s="1132">
        <v>811436.59</v>
      </c>
      <c r="K400" s="1132">
        <v>182202.01</v>
      </c>
      <c r="L400" s="1132">
        <v>501172.89</v>
      </c>
      <c r="M400" s="1132">
        <v>1494811.49</v>
      </c>
      <c r="N400" s="1132">
        <v>1399159.51</v>
      </c>
      <c r="O400" s="1132">
        <v>1173.0999999999999</v>
      </c>
      <c r="P400" s="1132">
        <v>557.5</v>
      </c>
      <c r="R400" s="230"/>
      <c r="S400" s="230"/>
      <c r="T400" s="230"/>
      <c r="U400" s="230"/>
      <c r="V400" s="230"/>
      <c r="W400" s="230"/>
      <c r="X400" s="230"/>
      <c r="Y400" s="230"/>
      <c r="Z400" s="230"/>
      <c r="AA400" s="230"/>
      <c r="AB400" s="230"/>
      <c r="AC400" s="230"/>
    </row>
    <row r="401" spans="3:41" ht="15" customHeight="1">
      <c r="C401" s="297"/>
      <c r="D401" s="172" t="str">
        <f>IF(Indice_index!$Z$1=1,"março","March")</f>
        <v>março</v>
      </c>
      <c r="E401" s="1131">
        <v>515</v>
      </c>
      <c r="F401" s="1131">
        <v>256</v>
      </c>
      <c r="G401" s="1131">
        <v>907</v>
      </c>
      <c r="H401" s="1131">
        <v>1678</v>
      </c>
      <c r="I401" s="1131">
        <v>1514</v>
      </c>
      <c r="J401" s="1132">
        <v>716359.79</v>
      </c>
      <c r="K401" s="1132">
        <v>275750.90000000002</v>
      </c>
      <c r="L401" s="1132">
        <v>494600.39</v>
      </c>
      <c r="M401" s="1132">
        <v>1486711.08</v>
      </c>
      <c r="N401" s="1132">
        <v>1614644.05</v>
      </c>
      <c r="O401" s="1132">
        <v>1286.8</v>
      </c>
      <c r="P401" s="1132">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abril</v>
      </c>
      <c r="E402" s="1131">
        <v>1065</v>
      </c>
      <c r="F402" s="1131">
        <v>314</v>
      </c>
      <c r="G402" s="1131">
        <v>733</v>
      </c>
      <c r="H402" s="1131">
        <v>2112</v>
      </c>
      <c r="I402" s="1131">
        <v>1232</v>
      </c>
      <c r="J402" s="1132">
        <v>1303373.69</v>
      </c>
      <c r="K402" s="1132">
        <v>353465.21</v>
      </c>
      <c r="L402" s="1132">
        <v>409577.3</v>
      </c>
      <c r="M402" s="1132">
        <v>2066416.2</v>
      </c>
      <c r="N402" s="1132">
        <v>1325659.73</v>
      </c>
      <c r="O402" s="1132">
        <v>1201.5</v>
      </c>
      <c r="P402" s="1132">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maio</v>
      </c>
      <c r="E403" s="1131">
        <v>1128</v>
      </c>
      <c r="F403" s="1131">
        <v>244</v>
      </c>
      <c r="G403" s="1131">
        <v>882</v>
      </c>
      <c r="H403" s="1131">
        <v>2254</v>
      </c>
      <c r="I403" s="1131">
        <v>1085</v>
      </c>
      <c r="J403" s="1132">
        <v>1546773.28</v>
      </c>
      <c r="K403" s="1132">
        <v>248128.21</v>
      </c>
      <c r="L403" s="1132">
        <v>454247.7</v>
      </c>
      <c r="M403" s="1132">
        <v>2249149.19</v>
      </c>
      <c r="N403" s="1132">
        <v>1794901.49</v>
      </c>
      <c r="O403" s="1132">
        <v>1308.2</v>
      </c>
      <c r="P403" s="1132">
        <v>515</v>
      </c>
      <c r="R403" s="230"/>
      <c r="S403" s="230"/>
      <c r="T403" s="230"/>
      <c r="U403" s="230"/>
      <c r="V403" s="230"/>
      <c r="W403" s="230"/>
      <c r="X403" s="230"/>
      <c r="Y403" s="230"/>
      <c r="Z403" s="230"/>
      <c r="AA403" s="230"/>
      <c r="AB403" s="230"/>
      <c r="AC403" s="230"/>
    </row>
    <row r="404" spans="3:41" ht="15" customHeight="1">
      <c r="C404" s="297"/>
      <c r="D404" s="172" t="str">
        <f>IF(Indice_index!$Z$1=1,"junho","June")</f>
        <v>junho</v>
      </c>
      <c r="E404" s="1131">
        <v>945</v>
      </c>
      <c r="F404" s="1131">
        <v>258</v>
      </c>
      <c r="G404" s="1131">
        <v>982</v>
      </c>
      <c r="H404" s="1131">
        <v>2185</v>
      </c>
      <c r="I404" s="1131">
        <v>1255</v>
      </c>
      <c r="J404" s="1132">
        <v>1136649.44</v>
      </c>
      <c r="K404" s="1132">
        <v>315491.37</v>
      </c>
      <c r="L404" s="1132">
        <v>500211.27</v>
      </c>
      <c r="M404" s="1132">
        <v>1952352.08</v>
      </c>
      <c r="N404" s="1132">
        <v>1423669.42</v>
      </c>
      <c r="O404" s="1132">
        <v>1207.0999999999999</v>
      </c>
      <c r="P404" s="1132">
        <v>509.4</v>
      </c>
      <c r="R404" s="230"/>
      <c r="S404" s="230"/>
      <c r="T404" s="230"/>
      <c r="U404" s="230"/>
      <c r="V404" s="230"/>
      <c r="W404" s="230"/>
      <c r="X404" s="230"/>
      <c r="Y404" s="230"/>
      <c r="Z404" s="230"/>
      <c r="AA404" s="230"/>
      <c r="AB404" s="230"/>
      <c r="AC404" s="230"/>
    </row>
    <row r="405" spans="3:41" ht="15" customHeight="1">
      <c r="C405" s="297"/>
      <c r="D405" s="172" t="str">
        <f>IF(Indice_index!$Z$1=1,"julho","July")</f>
        <v>julho</v>
      </c>
      <c r="E405" s="1131">
        <v>1013</v>
      </c>
      <c r="F405" s="1131">
        <v>164</v>
      </c>
      <c r="G405" s="1131">
        <v>747</v>
      </c>
      <c r="H405" s="1131">
        <v>1924</v>
      </c>
      <c r="I405" s="1131">
        <v>920</v>
      </c>
      <c r="J405" s="1132">
        <v>1350515.13</v>
      </c>
      <c r="K405" s="1132">
        <v>191515.13</v>
      </c>
      <c r="L405" s="1132">
        <v>414170.55</v>
      </c>
      <c r="M405" s="1132">
        <v>1956200.8099999998</v>
      </c>
      <c r="N405" s="1132">
        <v>966080.69</v>
      </c>
      <c r="O405" s="1132">
        <v>1310</v>
      </c>
      <c r="P405" s="1132">
        <v>554.4</v>
      </c>
      <c r="R405" s="230"/>
      <c r="S405" s="230"/>
      <c r="T405" s="230"/>
      <c r="U405" s="230"/>
      <c r="V405" s="230"/>
      <c r="W405" s="230"/>
      <c r="X405" s="230"/>
      <c r="Y405" s="230"/>
      <c r="Z405" s="230"/>
      <c r="AA405" s="230"/>
      <c r="AB405" s="230"/>
      <c r="AC405" s="230"/>
    </row>
    <row r="406" spans="3:41" ht="15" customHeight="1">
      <c r="C406" s="297"/>
      <c r="D406" s="172" t="str">
        <f>IF(Indice_index!$Z$1=1,"agosto","August")</f>
        <v>agosto</v>
      </c>
      <c r="E406" s="1131">
        <v>973</v>
      </c>
      <c r="F406" s="1131">
        <v>157</v>
      </c>
      <c r="G406" s="1131">
        <v>853</v>
      </c>
      <c r="H406" s="1131">
        <v>1983</v>
      </c>
      <c r="I406" s="1131">
        <v>1061</v>
      </c>
      <c r="J406" s="1132">
        <v>1053354.69</v>
      </c>
      <c r="K406" s="1132">
        <v>161216.37</v>
      </c>
      <c r="L406" s="1132">
        <v>418478.12</v>
      </c>
      <c r="M406" s="1132">
        <v>1633049.1800000002</v>
      </c>
      <c r="N406" s="1132">
        <v>1130360.99</v>
      </c>
      <c r="O406" s="1132">
        <v>1074.8</v>
      </c>
      <c r="P406" s="1132">
        <v>490.6</v>
      </c>
      <c r="X406" s="229"/>
      <c r="Y406" s="229"/>
      <c r="Z406" s="229"/>
      <c r="AA406" s="229"/>
    </row>
    <row r="407" spans="3:41" ht="15" customHeight="1">
      <c r="C407" s="297"/>
      <c r="D407" s="172" t="str">
        <f>IF(Indice_index!$Z$1=1,"setembro","September")</f>
        <v>setembro</v>
      </c>
      <c r="E407" s="1131">
        <v>1018</v>
      </c>
      <c r="F407" s="1131">
        <v>188</v>
      </c>
      <c r="G407" s="1131">
        <v>921</v>
      </c>
      <c r="H407" s="1131">
        <v>2127</v>
      </c>
      <c r="I407" s="1131">
        <v>957</v>
      </c>
      <c r="J407" s="1132">
        <v>1180241.8500000001</v>
      </c>
      <c r="K407" s="1132">
        <v>212205.83</v>
      </c>
      <c r="L407" s="1132">
        <v>399925.98</v>
      </c>
      <c r="M407" s="1132">
        <v>1792373.66</v>
      </c>
      <c r="N407" s="1132">
        <v>1085699.8899999999</v>
      </c>
      <c r="O407" s="1132">
        <v>1154.5999999999999</v>
      </c>
      <c r="P407" s="1132">
        <v>434.2</v>
      </c>
      <c r="X407" s="229"/>
      <c r="Y407" s="229"/>
      <c r="Z407" s="229"/>
      <c r="AA407" s="229"/>
    </row>
    <row r="408" spans="3:41" ht="15" customHeight="1">
      <c r="C408" s="297"/>
      <c r="D408" s="172" t="str">
        <f>IF(Indice_index!$Z$1=1,"outubro","October")</f>
        <v>outubro</v>
      </c>
      <c r="E408" s="1133">
        <v>830</v>
      </c>
      <c r="F408" s="1133">
        <v>87</v>
      </c>
      <c r="G408" s="1133">
        <v>735</v>
      </c>
      <c r="H408" s="1133">
        <v>1652</v>
      </c>
      <c r="I408" s="1133">
        <v>1129</v>
      </c>
      <c r="J408" s="1134">
        <v>937535.28</v>
      </c>
      <c r="K408" s="1134">
        <v>96065.17</v>
      </c>
      <c r="L408" s="1134">
        <v>327182.71999999997</v>
      </c>
      <c r="M408" s="1134">
        <v>1360783.17</v>
      </c>
      <c r="N408" s="1134">
        <v>1273577.6299999999</v>
      </c>
      <c r="O408" s="1134">
        <v>1127.2</v>
      </c>
      <c r="P408" s="1134">
        <v>445.1</v>
      </c>
      <c r="X408" s="229"/>
      <c r="Y408" s="229"/>
      <c r="Z408" s="229"/>
      <c r="AA408" s="229"/>
    </row>
    <row r="409" spans="3:41" s="171" customFormat="1" ht="15" customHeight="1">
      <c r="C409" s="1130"/>
      <c r="D409" s="172" t="str">
        <f>IF(Indice_index!$Z$1=1,"novembro","November")</f>
        <v>novembro</v>
      </c>
      <c r="E409" s="1135">
        <v>2057</v>
      </c>
      <c r="F409" s="1135">
        <v>176</v>
      </c>
      <c r="G409" s="1135">
        <v>1034</v>
      </c>
      <c r="H409" s="1135">
        <v>3267</v>
      </c>
      <c r="I409" s="1135">
        <v>1052</v>
      </c>
      <c r="J409" s="1136">
        <v>1512838.7399999998</v>
      </c>
      <c r="K409" s="1136">
        <v>194177.99999999997</v>
      </c>
      <c r="L409" s="1136">
        <v>482554.58</v>
      </c>
      <c r="M409" s="1136">
        <v>2189571.3199999998</v>
      </c>
      <c r="N409" s="1136">
        <v>1179613.68</v>
      </c>
      <c r="O409" s="1136">
        <v>764.4</v>
      </c>
      <c r="P409" s="1136">
        <v>466.7</v>
      </c>
      <c r="R409" s="229"/>
      <c r="S409" s="229"/>
      <c r="T409" s="229"/>
      <c r="U409" s="229"/>
      <c r="V409" s="229"/>
      <c r="W409" s="229"/>
      <c r="X409" s="229"/>
      <c r="Y409" s="229"/>
      <c r="Z409" s="229"/>
      <c r="AA409" s="229"/>
      <c r="AB409" s="229"/>
      <c r="AC409" s="229"/>
    </row>
    <row r="410" spans="3:41" ht="15" customHeight="1">
      <c r="C410" s="1052"/>
      <c r="D410" s="172" t="str">
        <f>IF(Indice_index!$Z$1=1,"dezembro","December")</f>
        <v>dezembro</v>
      </c>
      <c r="E410" s="1126">
        <v>2065</v>
      </c>
      <c r="F410" s="1126">
        <v>165</v>
      </c>
      <c r="G410" s="1126">
        <v>643</v>
      </c>
      <c r="H410" s="1126">
        <v>2873</v>
      </c>
      <c r="I410" s="1126">
        <v>1095</v>
      </c>
      <c r="J410" s="1127">
        <v>1764593.98</v>
      </c>
      <c r="K410" s="1127">
        <v>160955.39000000001</v>
      </c>
      <c r="L410" s="1127">
        <v>305412.8</v>
      </c>
      <c r="M410" s="1127">
        <v>2230962.17</v>
      </c>
      <c r="N410" s="1127">
        <v>1240568.53</v>
      </c>
      <c r="O410" s="1127">
        <v>863.5</v>
      </c>
      <c r="P410" s="1127">
        <v>475</v>
      </c>
    </row>
    <row r="411" spans="3:41" ht="15" customHeight="1">
      <c r="C411" s="297">
        <v>2020</v>
      </c>
      <c r="D411" s="171"/>
      <c r="E411" s="1126"/>
      <c r="F411" s="1126"/>
      <c r="G411" s="1126"/>
      <c r="H411" s="1126"/>
      <c r="I411" s="1126"/>
      <c r="J411" s="1127"/>
      <c r="K411" s="1127"/>
      <c r="L411" s="1127"/>
      <c r="M411" s="1127"/>
      <c r="N411" s="1127"/>
      <c r="O411" s="1127"/>
      <c r="P411" s="1127"/>
      <c r="R411" s="230"/>
      <c r="S411" s="230"/>
      <c r="T411" s="230"/>
      <c r="U411" s="230"/>
      <c r="V411" s="230"/>
      <c r="W411" s="230"/>
      <c r="X411" s="230"/>
      <c r="Y411" s="230"/>
      <c r="Z411" s="230"/>
      <c r="AA411" s="230"/>
      <c r="AB411" s="230"/>
      <c r="AC411" s="230"/>
    </row>
    <row r="412" spans="3:41" s="171" customFormat="1" ht="15" customHeight="1">
      <c r="C412" s="1130"/>
      <c r="D412" s="172" t="str">
        <f>IF(Indice_index!$Z$1=1,"janeiro","January")</f>
        <v>janeiro</v>
      </c>
      <c r="E412" s="1131">
        <v>1301</v>
      </c>
      <c r="F412" s="1131">
        <v>101</v>
      </c>
      <c r="G412" s="1131">
        <v>1606</v>
      </c>
      <c r="H412" s="1131">
        <v>3008</v>
      </c>
      <c r="I412" s="1131">
        <v>1254</v>
      </c>
      <c r="J412" s="1132">
        <v>1406215.8599999999</v>
      </c>
      <c r="K412" s="1132">
        <v>120721.40999999999</v>
      </c>
      <c r="L412" s="1132">
        <v>1121634.8500000001</v>
      </c>
      <c r="M412" s="1132">
        <v>2648572.12</v>
      </c>
      <c r="N412" s="1132">
        <v>1181130.18</v>
      </c>
      <c r="O412" s="1132">
        <v>1089.0999999999999</v>
      </c>
      <c r="P412" s="1132">
        <v>698.4</v>
      </c>
      <c r="R412" s="230"/>
      <c r="S412" s="230"/>
      <c r="T412" s="230"/>
      <c r="U412" s="230"/>
      <c r="V412" s="230"/>
      <c r="W412" s="230"/>
      <c r="X412" s="230"/>
      <c r="Y412" s="230"/>
      <c r="Z412" s="230"/>
      <c r="AA412" s="230"/>
      <c r="AB412" s="230"/>
      <c r="AC412" s="230"/>
      <c r="AD412" s="416"/>
      <c r="AE412" s="416"/>
      <c r="AF412" s="416"/>
      <c r="AG412" s="416"/>
      <c r="AH412" s="416"/>
      <c r="AI412" s="416"/>
      <c r="AJ412" s="416"/>
      <c r="AK412" s="416"/>
      <c r="AL412" s="416"/>
      <c r="AM412" s="416"/>
      <c r="AN412" s="416"/>
      <c r="AO412" s="416"/>
    </row>
    <row r="413" spans="3:41" s="171" customFormat="1" ht="15" customHeight="1">
      <c r="C413" s="1130"/>
      <c r="D413" s="172" t="str">
        <f>IF(Indice_index!$Z$1=1,"fevereiro","February")</f>
        <v>fevereiro</v>
      </c>
      <c r="E413" s="1131">
        <v>1156</v>
      </c>
      <c r="F413" s="1131">
        <v>86</v>
      </c>
      <c r="G413" s="1131">
        <v>784</v>
      </c>
      <c r="H413" s="1131">
        <v>2026</v>
      </c>
      <c r="I413" s="1131">
        <v>1433</v>
      </c>
      <c r="J413" s="1132">
        <v>1256302.7600000002</v>
      </c>
      <c r="K413" s="1132">
        <v>93955.06</v>
      </c>
      <c r="L413" s="1132">
        <v>340075.64</v>
      </c>
      <c r="M413" s="1132">
        <v>1690333.4600000004</v>
      </c>
      <c r="N413" s="1132">
        <v>1470168.61</v>
      </c>
      <c r="O413" s="1132">
        <v>1087.2</v>
      </c>
      <c r="P413" s="1132">
        <v>433.8</v>
      </c>
      <c r="R413" s="230"/>
      <c r="S413" s="230"/>
      <c r="T413" s="230"/>
      <c r="U413" s="230"/>
      <c r="V413" s="230"/>
      <c r="W413" s="230"/>
      <c r="X413" s="230"/>
      <c r="Y413" s="230"/>
      <c r="Z413" s="230"/>
      <c r="AA413" s="230"/>
      <c r="AB413" s="230"/>
      <c r="AC413" s="230"/>
      <c r="AD413" s="416"/>
      <c r="AE413" s="416"/>
      <c r="AF413" s="416"/>
      <c r="AG413" s="416"/>
      <c r="AH413" s="416"/>
      <c r="AI413" s="416"/>
      <c r="AJ413" s="416"/>
      <c r="AK413" s="416"/>
      <c r="AL413" s="416"/>
      <c r="AM413" s="416"/>
      <c r="AN413" s="416"/>
      <c r="AO413" s="416"/>
    </row>
    <row r="414" spans="3:41" ht="15" customHeight="1">
      <c r="C414" s="297"/>
      <c r="D414" s="172" t="str">
        <f>IF(Indice_index!$Z$1=1,"março","March")</f>
        <v>março</v>
      </c>
      <c r="E414" s="1131">
        <v>1124</v>
      </c>
      <c r="F414" s="1131">
        <v>296</v>
      </c>
      <c r="G414" s="1131">
        <v>885</v>
      </c>
      <c r="H414" s="1131">
        <v>2305</v>
      </c>
      <c r="I414" s="1131">
        <v>1405</v>
      </c>
      <c r="J414" s="1132">
        <v>1455949.83</v>
      </c>
      <c r="K414" s="1132">
        <v>284777.40000000002</v>
      </c>
      <c r="L414" s="1132">
        <v>458761.12</v>
      </c>
      <c r="M414" s="1132">
        <v>2199488.35</v>
      </c>
      <c r="N414" s="1132">
        <v>1464110.3</v>
      </c>
      <c r="O414" s="1132">
        <v>1225.9000000000001</v>
      </c>
      <c r="P414" s="1132">
        <v>518.4</v>
      </c>
      <c r="R414" s="230"/>
      <c r="S414" s="230"/>
      <c r="T414" s="230"/>
      <c r="U414" s="230"/>
      <c r="V414" s="230"/>
      <c r="W414" s="230"/>
      <c r="X414" s="230"/>
      <c r="Y414" s="230"/>
      <c r="Z414" s="230"/>
      <c r="AA414" s="230"/>
      <c r="AB414" s="230"/>
      <c r="AC414" s="230"/>
      <c r="AD414" s="416"/>
      <c r="AE414" s="416"/>
      <c r="AF414" s="416"/>
      <c r="AG414" s="416"/>
      <c r="AH414" s="416"/>
      <c r="AI414" s="416"/>
      <c r="AJ414" s="416"/>
      <c r="AK414" s="416"/>
      <c r="AL414" s="416"/>
      <c r="AM414" s="416"/>
      <c r="AN414" s="416"/>
      <c r="AO414" s="416"/>
    </row>
    <row r="415" spans="3:41" ht="15" customHeight="1">
      <c r="C415" s="297"/>
      <c r="D415" s="172" t="str">
        <f>IF(Indice_index!$Z$1=1,"abril","April")</f>
        <v>abril</v>
      </c>
      <c r="E415" s="1131">
        <v>1369</v>
      </c>
      <c r="F415" s="1131">
        <v>110</v>
      </c>
      <c r="G415" s="1131">
        <v>958</v>
      </c>
      <c r="H415" s="1131">
        <v>2437</v>
      </c>
      <c r="I415" s="1131">
        <v>1330</v>
      </c>
      <c r="J415" s="1132">
        <v>1733658.78</v>
      </c>
      <c r="K415" s="1132">
        <v>136607.13</v>
      </c>
      <c r="L415" s="1132">
        <v>469100.58</v>
      </c>
      <c r="M415" s="1132">
        <v>2339366.4900000002</v>
      </c>
      <c r="N415" s="1132">
        <v>1389223.38</v>
      </c>
      <c r="O415" s="1132">
        <v>1264.5</v>
      </c>
      <c r="P415" s="1132">
        <v>489.7</v>
      </c>
      <c r="R415" s="230"/>
      <c r="S415" s="230"/>
      <c r="T415" s="230"/>
      <c r="U415" s="230"/>
      <c r="V415" s="230"/>
      <c r="W415" s="230"/>
      <c r="X415" s="230"/>
      <c r="Y415" s="230"/>
      <c r="Z415" s="230"/>
      <c r="AA415" s="230"/>
      <c r="AB415" s="230"/>
      <c r="AC415" s="230"/>
      <c r="AD415" s="416"/>
      <c r="AE415" s="416"/>
      <c r="AF415" s="416"/>
      <c r="AG415" s="416"/>
      <c r="AH415" s="416"/>
      <c r="AI415" s="416"/>
      <c r="AJ415" s="416"/>
      <c r="AK415" s="416"/>
      <c r="AL415" s="416"/>
      <c r="AM415" s="416"/>
      <c r="AN415" s="416"/>
      <c r="AO415" s="416"/>
    </row>
    <row r="416" spans="3:41" ht="15" customHeight="1">
      <c r="C416" s="297"/>
      <c r="D416" s="172" t="str">
        <f>IF(Indice_index!$Z$1=1,"maio","May")</f>
        <v>maio</v>
      </c>
      <c r="E416" s="1131">
        <v>1531</v>
      </c>
      <c r="F416" s="1131">
        <v>78</v>
      </c>
      <c r="G416" s="1131">
        <v>981</v>
      </c>
      <c r="H416" s="1131">
        <v>2590</v>
      </c>
      <c r="I416" s="1131">
        <v>1371</v>
      </c>
      <c r="J416" s="1132">
        <v>1984223.61</v>
      </c>
      <c r="K416" s="1132">
        <v>92547.049999999988</v>
      </c>
      <c r="L416" s="1132">
        <v>505983.3</v>
      </c>
      <c r="M416" s="1132">
        <v>2582753.96</v>
      </c>
      <c r="N416" s="1132">
        <v>1531210.28</v>
      </c>
      <c r="O416" s="1132">
        <v>1290.7</v>
      </c>
      <c r="P416" s="1132">
        <v>515.79999999999995</v>
      </c>
      <c r="R416" s="230"/>
      <c r="S416" s="230"/>
      <c r="T416" s="230"/>
      <c r="U416" s="230"/>
      <c r="V416" s="230"/>
      <c r="W416" s="230"/>
      <c r="X416" s="230"/>
      <c r="Y416" s="230"/>
      <c r="Z416" s="230"/>
      <c r="AA416" s="230"/>
      <c r="AB416" s="230"/>
      <c r="AC416" s="230"/>
      <c r="AD416" s="416"/>
      <c r="AE416" s="416"/>
      <c r="AF416" s="416"/>
      <c r="AG416" s="416"/>
      <c r="AH416" s="416"/>
      <c r="AI416" s="416"/>
      <c r="AJ416" s="416"/>
      <c r="AK416" s="416"/>
      <c r="AL416" s="416"/>
      <c r="AM416" s="416"/>
      <c r="AN416" s="416"/>
      <c r="AO416" s="416"/>
    </row>
    <row r="417" spans="3:41" ht="15" customHeight="1">
      <c r="C417" s="297"/>
      <c r="D417" s="172" t="str">
        <f>IF(Indice_index!$Z$1=1,"junho","June")</f>
        <v>junho</v>
      </c>
      <c r="E417" s="1131">
        <v>1499</v>
      </c>
      <c r="F417" s="1131">
        <v>89</v>
      </c>
      <c r="G417" s="1131">
        <v>865</v>
      </c>
      <c r="H417" s="1131">
        <v>2453</v>
      </c>
      <c r="I417" s="1131">
        <v>1349</v>
      </c>
      <c r="J417" s="1132">
        <v>1855493.75</v>
      </c>
      <c r="K417" s="1132">
        <v>106652.79</v>
      </c>
      <c r="L417" s="1132">
        <v>464286.68</v>
      </c>
      <c r="M417" s="1132">
        <v>2426433.2200000002</v>
      </c>
      <c r="N417" s="1132">
        <v>1540020.1</v>
      </c>
      <c r="O417" s="1132">
        <v>1235.5999999999999</v>
      </c>
      <c r="P417" s="1132">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julho</v>
      </c>
      <c r="E418" s="1131">
        <v>1452</v>
      </c>
      <c r="F418" s="1131">
        <v>58</v>
      </c>
      <c r="G418" s="1131">
        <v>929</v>
      </c>
      <c r="H418" s="1131">
        <v>2439</v>
      </c>
      <c r="I418" s="1131">
        <v>1105</v>
      </c>
      <c r="J418" s="1132">
        <v>1944599.44</v>
      </c>
      <c r="K418" s="1132">
        <v>67974.77</v>
      </c>
      <c r="L418" s="1132">
        <v>541800.02</v>
      </c>
      <c r="M418" s="1132">
        <v>2554374.23</v>
      </c>
      <c r="N418" s="1132">
        <v>1241641.8799999999</v>
      </c>
      <c r="O418" s="1132">
        <v>1332.8</v>
      </c>
      <c r="P418" s="1132">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agosto</v>
      </c>
      <c r="E419" s="1131">
        <v>1470</v>
      </c>
      <c r="F419" s="1131">
        <v>36</v>
      </c>
      <c r="G419" s="1131">
        <v>1000</v>
      </c>
      <c r="H419" s="1131">
        <v>2506</v>
      </c>
      <c r="I419" s="1131">
        <v>1168</v>
      </c>
      <c r="J419" s="1132">
        <v>1875739.22</v>
      </c>
      <c r="K419" s="1132">
        <v>36978.129999999997</v>
      </c>
      <c r="L419" s="1132">
        <v>554835.69000000006</v>
      </c>
      <c r="M419" s="1132">
        <v>2467553.04</v>
      </c>
      <c r="N419" s="1132">
        <v>1282507.42</v>
      </c>
      <c r="O419" s="1132">
        <v>1270.0999999999999</v>
      </c>
      <c r="P419" s="1132">
        <v>554.79999999999995</v>
      </c>
      <c r="X419" s="229"/>
      <c r="Y419" s="229"/>
      <c r="Z419" s="229"/>
      <c r="AA419" s="229"/>
    </row>
    <row r="420" spans="3:41" ht="15" customHeight="1">
      <c r="C420" s="297"/>
      <c r="D420" s="172" t="str">
        <f>IF(Indice_index!$Z$1=1,"setembro","September")</f>
        <v>setembro</v>
      </c>
      <c r="E420" s="1131">
        <v>1318</v>
      </c>
      <c r="F420" s="1131">
        <v>29</v>
      </c>
      <c r="G420" s="1131">
        <v>773</v>
      </c>
      <c r="H420" s="1131">
        <v>2120</v>
      </c>
      <c r="I420" s="1131">
        <v>1265</v>
      </c>
      <c r="J420" s="1132">
        <v>2047092.5899999999</v>
      </c>
      <c r="K420" s="1132">
        <v>39101.64</v>
      </c>
      <c r="L420" s="1132">
        <v>431175.01</v>
      </c>
      <c r="M420" s="1132">
        <v>2517369.2399999998</v>
      </c>
      <c r="N420" s="1132">
        <v>1390071.15</v>
      </c>
      <c r="O420" s="1132">
        <v>1548.8</v>
      </c>
      <c r="P420" s="1132">
        <v>557.79999999999995</v>
      </c>
      <c r="X420" s="229"/>
      <c r="Y420" s="229"/>
      <c r="Z420" s="229"/>
      <c r="AA420" s="229"/>
    </row>
    <row r="421" spans="3:41" ht="15" customHeight="1">
      <c r="C421" s="297"/>
      <c r="D421" s="172" t="str">
        <f>IF(Indice_index!$Z$1=1,"outubro","October")</f>
        <v>outubro</v>
      </c>
      <c r="E421" s="1137">
        <v>1206</v>
      </c>
      <c r="F421" s="1137">
        <v>27</v>
      </c>
      <c r="G421" s="1137">
        <v>773</v>
      </c>
      <c r="H421" s="1137">
        <v>2006</v>
      </c>
      <c r="I421" s="1137">
        <v>1151</v>
      </c>
      <c r="J421" s="1138">
        <v>1774555.76</v>
      </c>
      <c r="K421" s="1138">
        <v>41696.28</v>
      </c>
      <c r="L421" s="1138">
        <v>424627.48</v>
      </c>
      <c r="M421" s="1138">
        <v>2240879.52</v>
      </c>
      <c r="N421" s="1138">
        <v>1317894.17</v>
      </c>
      <c r="O421" s="1138">
        <v>1473</v>
      </c>
      <c r="P421" s="1138">
        <v>549.29999999999995</v>
      </c>
      <c r="X421" s="229"/>
      <c r="Y421" s="229"/>
      <c r="Z421" s="229"/>
      <c r="AA421" s="229"/>
    </row>
    <row r="422" spans="3:41" s="171" customFormat="1" ht="15" customHeight="1">
      <c r="C422" s="1130"/>
      <c r="D422" s="172" t="str">
        <f>IF(Indice_index!$Z$1=1,"novembro","November")</f>
        <v>novembro</v>
      </c>
      <c r="E422" s="1139">
        <v>1111</v>
      </c>
      <c r="F422" s="1139">
        <v>86</v>
      </c>
      <c r="G422" s="1139">
        <v>871</v>
      </c>
      <c r="H422" s="1139">
        <v>2068</v>
      </c>
      <c r="I422" s="1139">
        <v>1162</v>
      </c>
      <c r="J422" s="1140">
        <v>1770166.95</v>
      </c>
      <c r="K422" s="1140">
        <v>101722.77</v>
      </c>
      <c r="L422" s="1140">
        <v>447410.54</v>
      </c>
      <c r="M422" s="1140">
        <v>2319300.2599999998</v>
      </c>
      <c r="N422" s="1140">
        <v>1306216.53</v>
      </c>
      <c r="O422" s="1140">
        <v>1563.8</v>
      </c>
      <c r="P422" s="1140">
        <v>513.70000000000005</v>
      </c>
      <c r="R422" s="229"/>
      <c r="S422" s="229"/>
      <c r="T422" s="229"/>
      <c r="U422" s="229"/>
      <c r="V422" s="229"/>
      <c r="W422" s="229"/>
      <c r="X422" s="229"/>
      <c r="Y422" s="229"/>
      <c r="Z422" s="229"/>
      <c r="AA422" s="229"/>
      <c r="AB422" s="229"/>
      <c r="AC422" s="229"/>
    </row>
    <row r="423" spans="3:41" ht="15" customHeight="1">
      <c r="C423" s="1052"/>
      <c r="D423" s="172" t="str">
        <f>IF(Indice_index!$Z$1=1,"dezembro","December")</f>
        <v>dezembro</v>
      </c>
      <c r="E423" s="1141">
        <v>1057</v>
      </c>
      <c r="F423" s="1141">
        <v>106</v>
      </c>
      <c r="G423" s="1141">
        <v>889</v>
      </c>
      <c r="H423" s="1141">
        <v>2052</v>
      </c>
      <c r="I423" s="1141">
        <v>1288</v>
      </c>
      <c r="J423" s="1142">
        <v>1823991.91</v>
      </c>
      <c r="K423" s="1142">
        <v>121644.84</v>
      </c>
      <c r="L423" s="1142">
        <v>467474.39</v>
      </c>
      <c r="M423" s="1142">
        <v>2413111.14</v>
      </c>
      <c r="N423" s="1142">
        <v>1486433.23</v>
      </c>
      <c r="O423" s="1142">
        <v>1672.9</v>
      </c>
      <c r="P423" s="1142">
        <v>525.79999999999995</v>
      </c>
    </row>
    <row r="424" spans="3:41" ht="15" customHeight="1">
      <c r="C424" s="1143" t="s">
        <v>67</v>
      </c>
      <c r="D424" s="171"/>
      <c r="E424" s="1126"/>
      <c r="F424" s="1126"/>
      <c r="G424" s="1126"/>
      <c r="H424" s="1126"/>
      <c r="I424" s="1126"/>
      <c r="J424" s="1127"/>
      <c r="K424" s="1127"/>
      <c r="L424" s="1127"/>
      <c r="M424" s="1127"/>
      <c r="N424" s="1127"/>
      <c r="O424" s="1127"/>
      <c r="P424" s="1127"/>
      <c r="R424" s="230"/>
      <c r="S424" s="230"/>
      <c r="T424" s="230"/>
      <c r="U424" s="230"/>
      <c r="V424" s="230"/>
      <c r="W424" s="230"/>
      <c r="X424" s="230"/>
      <c r="Y424" s="230"/>
      <c r="Z424" s="230"/>
      <c r="AA424" s="230"/>
      <c r="AB424" s="230"/>
      <c r="AC424" s="230"/>
    </row>
    <row r="425" spans="3:41" s="171" customFormat="1" ht="15" customHeight="1">
      <c r="C425" s="1130"/>
      <c r="D425" s="172" t="str">
        <f>IF(Indice_index!$Z$1=1,"janeiro","January")</f>
        <v>janeiro</v>
      </c>
      <c r="E425" s="1131">
        <v>1024</v>
      </c>
      <c r="F425" s="1131">
        <v>87</v>
      </c>
      <c r="G425" s="1131">
        <v>678</v>
      </c>
      <c r="H425" s="1131">
        <v>1789</v>
      </c>
      <c r="I425" s="1131">
        <v>1319</v>
      </c>
      <c r="J425" s="1132">
        <v>1639431.98</v>
      </c>
      <c r="K425" s="1132">
        <v>104309.67</v>
      </c>
      <c r="L425" s="1132">
        <v>372691.26</v>
      </c>
      <c r="M425" s="1132">
        <v>2116432.91</v>
      </c>
      <c r="N425" s="1132">
        <v>1451929.72</v>
      </c>
      <c r="O425" s="1132">
        <v>1569.5</v>
      </c>
      <c r="P425" s="1132">
        <v>549.70000000000005</v>
      </c>
      <c r="R425" s="230"/>
      <c r="S425" s="230"/>
      <c r="T425" s="230"/>
      <c r="U425" s="230"/>
      <c r="V425" s="230"/>
      <c r="W425" s="230"/>
      <c r="X425" s="230"/>
      <c r="Y425" s="230"/>
      <c r="Z425" s="230"/>
      <c r="AA425" s="230"/>
      <c r="AB425" s="230"/>
      <c r="AC425" s="230"/>
      <c r="AD425" s="416"/>
      <c r="AE425" s="416"/>
      <c r="AF425" s="416"/>
      <c r="AG425" s="416"/>
      <c r="AH425" s="416"/>
      <c r="AI425" s="416"/>
      <c r="AJ425" s="416"/>
      <c r="AK425" s="416"/>
      <c r="AL425" s="416"/>
      <c r="AM425" s="416"/>
      <c r="AN425" s="416"/>
      <c r="AO425" s="416"/>
    </row>
    <row r="426" spans="3:41" s="171" customFormat="1" ht="15" customHeight="1">
      <c r="C426" s="1130"/>
      <c r="D426" s="172" t="str">
        <f>IF(Indice_index!$Z$1=1,"fevereiro","February")</f>
        <v>fevereiro</v>
      </c>
      <c r="E426" s="1131">
        <v>883</v>
      </c>
      <c r="F426" s="1131">
        <v>101</v>
      </c>
      <c r="G426" s="1131">
        <v>836</v>
      </c>
      <c r="H426" s="1131">
        <v>1820</v>
      </c>
      <c r="I426" s="1131">
        <v>1678</v>
      </c>
      <c r="J426" s="1132">
        <v>1306138.5900000001</v>
      </c>
      <c r="K426" s="1132">
        <v>100339.62</v>
      </c>
      <c r="L426" s="1132">
        <v>458772.69</v>
      </c>
      <c r="M426" s="1132">
        <v>1865250.9</v>
      </c>
      <c r="N426" s="1132">
        <v>1928449.74</v>
      </c>
      <c r="O426" s="1132">
        <v>1429.3</v>
      </c>
      <c r="P426" s="1132">
        <v>548.79999999999995</v>
      </c>
      <c r="R426" s="230"/>
      <c r="S426" s="230"/>
      <c r="T426" s="230"/>
      <c r="U426" s="230"/>
      <c r="V426" s="230"/>
      <c r="W426" s="230"/>
      <c r="X426" s="230"/>
      <c r="Y426" s="230"/>
      <c r="Z426" s="230"/>
      <c r="AA426" s="230"/>
      <c r="AB426" s="230"/>
      <c r="AC426" s="230"/>
      <c r="AD426" s="416"/>
      <c r="AE426" s="416"/>
      <c r="AF426" s="416"/>
      <c r="AG426" s="416"/>
      <c r="AH426" s="416"/>
      <c r="AI426" s="416"/>
      <c r="AJ426" s="416"/>
      <c r="AK426" s="416"/>
      <c r="AL426" s="416"/>
      <c r="AM426" s="416"/>
      <c r="AN426" s="416"/>
      <c r="AO426" s="416"/>
    </row>
    <row r="427" spans="3:41" ht="15" customHeight="1">
      <c r="C427" s="297"/>
      <c r="D427" s="172" t="str">
        <f>IF(Indice_index!$Z$1=1,"março","March")</f>
        <v>março</v>
      </c>
      <c r="E427" s="1144">
        <v>1036</v>
      </c>
      <c r="F427" s="1144">
        <v>222</v>
      </c>
      <c r="G427" s="1144">
        <v>1078</v>
      </c>
      <c r="H427" s="1144">
        <v>2336</v>
      </c>
      <c r="I427" s="1144">
        <v>2405</v>
      </c>
      <c r="J427" s="1145">
        <v>1613764.1900000002</v>
      </c>
      <c r="K427" s="1145">
        <v>133205.26999999999</v>
      </c>
      <c r="L427" s="1145">
        <v>613383.06000000006</v>
      </c>
      <c r="M427" s="1145">
        <v>2360352.5200000005</v>
      </c>
      <c r="N427" s="1145">
        <v>2673440.56</v>
      </c>
      <c r="O427" s="1145">
        <v>1388.7</v>
      </c>
      <c r="P427" s="1145">
        <v>569</v>
      </c>
      <c r="R427" s="230"/>
      <c r="S427" s="230"/>
      <c r="T427" s="230"/>
      <c r="U427" s="230"/>
      <c r="V427" s="230"/>
      <c r="W427" s="230"/>
      <c r="X427" s="230"/>
      <c r="Y427" s="230"/>
      <c r="Z427" s="230"/>
      <c r="AA427" s="230"/>
      <c r="AB427" s="230"/>
      <c r="AC427" s="230"/>
      <c r="AD427" s="416"/>
      <c r="AE427" s="416"/>
      <c r="AF427" s="416"/>
      <c r="AG427" s="416"/>
      <c r="AH427" s="416"/>
      <c r="AI427" s="416"/>
      <c r="AJ427" s="416"/>
      <c r="AK427" s="416"/>
      <c r="AL427" s="416"/>
      <c r="AM427" s="416"/>
      <c r="AN427" s="416"/>
      <c r="AO427" s="416"/>
    </row>
    <row r="428" spans="3:41" ht="15" customHeight="1">
      <c r="C428" s="297"/>
      <c r="D428" s="172" t="str">
        <f>IF(Indice_index!$Z$1=1,"abril","April")</f>
        <v>abril</v>
      </c>
      <c r="E428" s="1131">
        <v>1283</v>
      </c>
      <c r="F428" s="1131">
        <v>72</v>
      </c>
      <c r="G428" s="1131">
        <v>1236</v>
      </c>
      <c r="H428" s="1131">
        <v>2591</v>
      </c>
      <c r="I428" s="1131">
        <v>1968</v>
      </c>
      <c r="J428" s="1132">
        <v>1804177.68</v>
      </c>
      <c r="K428" s="1132">
        <v>70996.08</v>
      </c>
      <c r="L428" s="1132">
        <v>710753.37</v>
      </c>
      <c r="M428" s="1132">
        <v>2585927.13</v>
      </c>
      <c r="N428" s="1132">
        <v>2223482.38</v>
      </c>
      <c r="O428" s="1132">
        <v>1383.9</v>
      </c>
      <c r="P428" s="1132">
        <v>575</v>
      </c>
      <c r="R428" s="230"/>
      <c r="S428" s="230"/>
      <c r="T428" s="230"/>
      <c r="U428" s="230"/>
      <c r="V428" s="230"/>
      <c r="W428" s="230"/>
      <c r="X428" s="230"/>
      <c r="Y428" s="230"/>
      <c r="Z428" s="230"/>
      <c r="AA428" s="230"/>
      <c r="AB428" s="230"/>
      <c r="AC428" s="230"/>
      <c r="AD428" s="416"/>
      <c r="AE428" s="416"/>
      <c r="AF428" s="416"/>
      <c r="AG428" s="416"/>
      <c r="AH428" s="416"/>
      <c r="AI428" s="416"/>
      <c r="AJ428" s="416"/>
      <c r="AK428" s="416"/>
      <c r="AL428" s="416"/>
      <c r="AM428" s="416"/>
      <c r="AN428" s="416"/>
      <c r="AO428" s="416"/>
    </row>
    <row r="429" spans="3:41" ht="15" customHeight="1">
      <c r="C429" s="297"/>
      <c r="D429" s="172" t="str">
        <f>IF(Indice_index!$Z$1=1,"maio","May")</f>
        <v>maio</v>
      </c>
      <c r="E429" s="1146">
        <v>1308</v>
      </c>
      <c r="F429" s="1146">
        <v>110</v>
      </c>
      <c r="G429" s="1146">
        <v>1023</v>
      </c>
      <c r="H429" s="1146">
        <v>2441</v>
      </c>
      <c r="I429" s="1146">
        <v>1258</v>
      </c>
      <c r="J429" s="1147">
        <v>1815930.3900000001</v>
      </c>
      <c r="K429" s="1147">
        <v>133305.41</v>
      </c>
      <c r="L429" s="1147">
        <v>555171.43000000005</v>
      </c>
      <c r="M429" s="1147">
        <v>2504407.23</v>
      </c>
      <c r="N429" s="1147">
        <v>1405971.93</v>
      </c>
      <c r="O429" s="1147">
        <v>1374.6</v>
      </c>
      <c r="P429" s="1147">
        <v>542.70000000000005</v>
      </c>
      <c r="R429" s="230"/>
      <c r="S429" s="230"/>
      <c r="T429" s="230"/>
      <c r="U429" s="230"/>
      <c r="V429" s="230"/>
      <c r="W429" s="230"/>
      <c r="X429" s="230"/>
      <c r="Y429" s="230"/>
      <c r="Z429" s="230"/>
      <c r="AA429" s="230"/>
      <c r="AB429" s="230"/>
      <c r="AC429" s="230"/>
      <c r="AD429" s="416"/>
      <c r="AE429" s="416"/>
      <c r="AF429" s="416"/>
      <c r="AG429" s="416"/>
      <c r="AH429" s="416"/>
      <c r="AI429" s="416"/>
      <c r="AJ429" s="416"/>
      <c r="AK429" s="416"/>
      <c r="AL429" s="416"/>
      <c r="AM429" s="416"/>
      <c r="AN429" s="416"/>
      <c r="AO429" s="416"/>
    </row>
    <row r="430" spans="3:41" ht="15" customHeight="1">
      <c r="C430" s="297"/>
      <c r="D430" s="172" t="str">
        <f>IF(Indice_index!$Z$1=1,"junho","June")</f>
        <v>junho</v>
      </c>
      <c r="E430" s="1148">
        <v>1295</v>
      </c>
      <c r="F430" s="1148">
        <v>111</v>
      </c>
      <c r="G430" s="1148">
        <v>934</v>
      </c>
      <c r="H430" s="1148">
        <v>2340</v>
      </c>
      <c r="I430" s="1148">
        <v>1117</v>
      </c>
      <c r="J430" s="1149">
        <v>1705979.83</v>
      </c>
      <c r="K430" s="1149">
        <v>133788.29999999999</v>
      </c>
      <c r="L430" s="1149">
        <v>509751.18</v>
      </c>
      <c r="M430" s="1149">
        <v>2349519.31</v>
      </c>
      <c r="N430" s="1149">
        <v>1237118.06</v>
      </c>
      <c r="O430" s="1149">
        <v>1308.5</v>
      </c>
      <c r="P430" s="1149">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julho</v>
      </c>
      <c r="E431" s="1150">
        <v>1548</v>
      </c>
      <c r="F431" s="1150">
        <v>107</v>
      </c>
      <c r="G431" s="1150">
        <v>769</v>
      </c>
      <c r="H431" s="1150">
        <v>2424</v>
      </c>
      <c r="I431" s="1150">
        <v>1105</v>
      </c>
      <c r="J431" s="1151">
        <v>2041996.1</v>
      </c>
      <c r="K431" s="1151">
        <v>127232.38</v>
      </c>
      <c r="L431" s="1151">
        <v>390379.21</v>
      </c>
      <c r="M431" s="1151">
        <v>2559607.69</v>
      </c>
      <c r="N431" s="1151">
        <v>1305963.02</v>
      </c>
      <c r="O431" s="1151">
        <v>1310.7</v>
      </c>
      <c r="P431" s="1151">
        <v>507.6</v>
      </c>
      <c r="R431" s="230"/>
      <c r="S431" s="230"/>
      <c r="T431" s="230"/>
      <c r="U431" s="230"/>
      <c r="V431" s="230"/>
      <c r="W431" s="230"/>
      <c r="X431" s="230"/>
      <c r="Y431" s="230"/>
      <c r="Z431" s="230"/>
      <c r="AA431" s="230"/>
      <c r="AB431" s="230"/>
      <c r="AC431" s="230"/>
    </row>
    <row r="432" spans="3:41" ht="15" customHeight="1">
      <c r="C432" s="297"/>
      <c r="D432" s="172" t="str">
        <f>IF(Indice_index!$Z$1=1,"agosto","August")</f>
        <v>agosto</v>
      </c>
      <c r="E432" s="1152">
        <v>1486</v>
      </c>
      <c r="F432" s="1152">
        <v>126</v>
      </c>
      <c r="G432" s="1152">
        <v>863</v>
      </c>
      <c r="H432" s="1152">
        <v>2475</v>
      </c>
      <c r="I432" s="1152">
        <v>1058</v>
      </c>
      <c r="J432" s="1153">
        <v>1897364.2</v>
      </c>
      <c r="K432" s="1153">
        <v>142210.25</v>
      </c>
      <c r="L432" s="1153">
        <v>468601</v>
      </c>
      <c r="M432" s="1153">
        <v>2508175.4500000002</v>
      </c>
      <c r="N432" s="1153">
        <v>1161705</v>
      </c>
      <c r="O432" s="1154">
        <v>1265.2</v>
      </c>
      <c r="P432" s="1154">
        <v>543</v>
      </c>
      <c r="X432" s="229"/>
      <c r="Y432" s="229"/>
      <c r="Z432" s="229"/>
      <c r="AA432" s="229"/>
    </row>
    <row r="433" spans="3:41" ht="15" customHeight="1">
      <c r="C433" s="297"/>
      <c r="D433" s="172" t="str">
        <f>IF(Indice_index!$Z$1=1,"setembro","September")</f>
        <v>setembro</v>
      </c>
      <c r="E433" s="1155">
        <v>1195</v>
      </c>
      <c r="F433" s="1155">
        <v>88</v>
      </c>
      <c r="G433" s="1155">
        <v>728</v>
      </c>
      <c r="H433" s="1155">
        <v>2011</v>
      </c>
      <c r="I433" s="1155">
        <v>1125</v>
      </c>
      <c r="J433" s="1156">
        <v>1784873.2</v>
      </c>
      <c r="K433" s="1156">
        <v>94208.49</v>
      </c>
      <c r="L433" s="1156">
        <v>389174.55</v>
      </c>
      <c r="M433" s="1156">
        <v>2268256.2399999998</v>
      </c>
      <c r="N433" s="1156">
        <v>1343124.69</v>
      </c>
      <c r="O433" s="1157">
        <v>1464.6</v>
      </c>
      <c r="P433" s="1157">
        <v>534.6</v>
      </c>
      <c r="X433" s="229"/>
      <c r="Y433" s="229"/>
      <c r="Z433" s="229"/>
      <c r="AA433" s="229"/>
    </row>
    <row r="434" spans="3:41" ht="15" customHeight="1">
      <c r="C434" s="297"/>
      <c r="D434" s="172" t="str">
        <f>IF(Indice_index!$Z$1=1,"outubro","October")</f>
        <v>outubro</v>
      </c>
      <c r="E434" s="1137">
        <v>1266</v>
      </c>
      <c r="F434" s="1137">
        <v>100</v>
      </c>
      <c r="G434" s="1137">
        <v>617</v>
      </c>
      <c r="H434" s="1137">
        <v>1983</v>
      </c>
      <c r="I434" s="1137">
        <v>1209</v>
      </c>
      <c r="J434" s="1138">
        <v>1666727.6800000002</v>
      </c>
      <c r="K434" s="1138">
        <v>122592.57999999999</v>
      </c>
      <c r="L434" s="1138">
        <v>317206.96000000002</v>
      </c>
      <c r="M434" s="1138">
        <v>2106527.2200000002</v>
      </c>
      <c r="N434" s="1138">
        <v>1330476.01</v>
      </c>
      <c r="O434" s="1138">
        <v>1309.9000000000001</v>
      </c>
      <c r="P434" s="1138">
        <v>514.1</v>
      </c>
      <c r="X434" s="229"/>
      <c r="Y434" s="229"/>
      <c r="Z434" s="229"/>
      <c r="AA434" s="229"/>
    </row>
    <row r="435" spans="3:41" s="171" customFormat="1" ht="15" customHeight="1">
      <c r="C435" s="1130"/>
      <c r="D435" s="172" t="str">
        <f>IF(Indice_index!$Z$1=1,"novembro","November")</f>
        <v>novembro</v>
      </c>
      <c r="E435" s="1139">
        <v>1183</v>
      </c>
      <c r="F435" s="1139">
        <v>103</v>
      </c>
      <c r="G435" s="1139">
        <v>799</v>
      </c>
      <c r="H435" s="1139">
        <v>2085</v>
      </c>
      <c r="I435" s="1139">
        <v>1166</v>
      </c>
      <c r="J435" s="1140">
        <v>1598623.57</v>
      </c>
      <c r="K435" s="1140">
        <v>130135.86000000002</v>
      </c>
      <c r="L435" s="1140">
        <v>460655.36000000004</v>
      </c>
      <c r="M435" s="1140">
        <v>2189414.79</v>
      </c>
      <c r="N435" s="1140">
        <v>1319273.3500000001</v>
      </c>
      <c r="O435" s="1140">
        <v>1344.3</v>
      </c>
      <c r="P435" s="1140">
        <v>576.5</v>
      </c>
      <c r="R435" s="229"/>
      <c r="S435" s="229"/>
      <c r="T435" s="229"/>
      <c r="U435" s="229"/>
      <c r="V435" s="229"/>
      <c r="W435" s="229"/>
      <c r="X435" s="229"/>
      <c r="Y435" s="229"/>
      <c r="Z435" s="229"/>
      <c r="AA435" s="229"/>
      <c r="AB435" s="229"/>
      <c r="AC435" s="229"/>
    </row>
    <row r="436" spans="3:41" ht="15" customHeight="1">
      <c r="C436" s="1052"/>
      <c r="D436" s="172" t="str">
        <f>IF(Indice_index!$Z$1=1,"dezembro","December")</f>
        <v>dezembro</v>
      </c>
      <c r="E436" s="1158">
        <v>1258</v>
      </c>
      <c r="F436" s="1158">
        <v>86</v>
      </c>
      <c r="G436" s="1158">
        <v>799</v>
      </c>
      <c r="H436" s="1158">
        <v>2143</v>
      </c>
      <c r="I436" s="1158">
        <v>1157</v>
      </c>
      <c r="J436" s="1159">
        <v>1695800.9499999997</v>
      </c>
      <c r="K436" s="1159">
        <v>99472.79</v>
      </c>
      <c r="L436" s="1159">
        <v>423524.91</v>
      </c>
      <c r="M436" s="1159">
        <v>2218798.65</v>
      </c>
      <c r="N436" s="1159">
        <v>1390334.04</v>
      </c>
      <c r="O436" s="1160">
        <v>1335.8</v>
      </c>
      <c r="P436" s="1160">
        <v>530.1</v>
      </c>
    </row>
    <row r="437" spans="3:41" ht="15" customHeight="1">
      <c r="C437" s="1143" t="s">
        <v>73</v>
      </c>
      <c r="D437" s="171"/>
      <c r="E437" s="1126"/>
      <c r="F437" s="1126"/>
      <c r="G437" s="1126"/>
      <c r="H437" s="1126"/>
      <c r="I437" s="1126"/>
      <c r="J437" s="1127"/>
      <c r="K437" s="1127"/>
      <c r="L437" s="1127"/>
      <c r="M437" s="1127"/>
      <c r="N437" s="1127"/>
      <c r="O437" s="1127"/>
      <c r="P437" s="1127"/>
      <c r="R437" s="230"/>
      <c r="S437" s="230"/>
      <c r="T437" s="230"/>
      <c r="U437" s="230"/>
      <c r="V437" s="230"/>
      <c r="W437" s="230"/>
      <c r="X437" s="230"/>
      <c r="Y437" s="230"/>
      <c r="Z437" s="230"/>
      <c r="AA437" s="230"/>
      <c r="AB437" s="230"/>
      <c r="AC437" s="230"/>
    </row>
    <row r="438" spans="3:41" s="171" customFormat="1" ht="15" customHeight="1">
      <c r="C438" s="1130"/>
      <c r="D438" s="172" t="str">
        <f>IF(Indice_index!$Z$1=1,"janeiro","January")</f>
        <v>janeiro</v>
      </c>
      <c r="E438" s="1161">
        <v>1437</v>
      </c>
      <c r="F438" s="1161">
        <v>96</v>
      </c>
      <c r="G438" s="1161">
        <v>623</v>
      </c>
      <c r="H438" s="1161">
        <v>2156</v>
      </c>
      <c r="I438" s="1161">
        <v>1325</v>
      </c>
      <c r="J438" s="1162">
        <v>2005121.44</v>
      </c>
      <c r="K438" s="1162">
        <v>106031.63</v>
      </c>
      <c r="L438" s="1162">
        <v>320876.56999999989</v>
      </c>
      <c r="M438" s="1162">
        <v>2432029.6399999997</v>
      </c>
      <c r="N438" s="1162">
        <v>1521835.02</v>
      </c>
      <c r="O438" s="1163">
        <v>1377.1</v>
      </c>
      <c r="P438" s="1163">
        <v>515.1</v>
      </c>
      <c r="R438" s="230"/>
      <c r="S438" s="230"/>
      <c r="T438" s="230"/>
      <c r="U438" s="230"/>
      <c r="V438" s="230"/>
      <c r="W438" s="230"/>
      <c r="X438" s="230"/>
      <c r="Y438" s="230"/>
      <c r="Z438" s="230"/>
      <c r="AA438" s="230"/>
      <c r="AB438" s="230"/>
      <c r="AC438" s="230"/>
      <c r="AD438" s="416"/>
      <c r="AE438" s="416"/>
      <c r="AF438" s="416"/>
      <c r="AG438" s="416"/>
      <c r="AH438" s="416"/>
      <c r="AI438" s="416"/>
      <c r="AJ438" s="416"/>
      <c r="AK438" s="416"/>
      <c r="AL438" s="416"/>
      <c r="AM438" s="416"/>
      <c r="AN438" s="416"/>
      <c r="AO438" s="416"/>
    </row>
    <row r="439" spans="3:41" s="171" customFormat="1" ht="15" customHeight="1">
      <c r="C439" s="1130"/>
      <c r="D439" s="172" t="str">
        <f>IF(Indice_index!$Z$1=1,"fevereiro","February")</f>
        <v>fevereiro</v>
      </c>
      <c r="E439" s="1164">
        <v>1337</v>
      </c>
      <c r="F439" s="1164">
        <v>52</v>
      </c>
      <c r="G439" s="1164">
        <v>696</v>
      </c>
      <c r="H439" s="1164">
        <v>2085</v>
      </c>
      <c r="I439" s="1164">
        <v>1497</v>
      </c>
      <c r="J439" s="1165">
        <v>1901082.0899999999</v>
      </c>
      <c r="K439" s="1165">
        <v>66170.700000000012</v>
      </c>
      <c r="L439" s="1165">
        <v>405249.56</v>
      </c>
      <c r="M439" s="1165">
        <v>2372502.3499999996</v>
      </c>
      <c r="N439" s="1165">
        <v>1719682.26</v>
      </c>
      <c r="O439" s="1166">
        <v>1416.3</v>
      </c>
      <c r="P439" s="1167">
        <v>582.29999999999995</v>
      </c>
      <c r="R439" s="230"/>
      <c r="S439" s="230"/>
      <c r="T439" s="230"/>
      <c r="U439" s="230"/>
      <c r="V439" s="230"/>
      <c r="W439" s="230"/>
      <c r="X439" s="230"/>
      <c r="Y439" s="230"/>
      <c r="Z439" s="230"/>
      <c r="AA439" s="230"/>
      <c r="AB439" s="230"/>
      <c r="AC439" s="230"/>
      <c r="AD439" s="416"/>
      <c r="AE439" s="416"/>
      <c r="AF439" s="416"/>
      <c r="AG439" s="416"/>
      <c r="AH439" s="416"/>
      <c r="AI439" s="416"/>
      <c r="AJ439" s="416"/>
      <c r="AK439" s="416"/>
      <c r="AL439" s="416"/>
      <c r="AM439" s="416"/>
      <c r="AN439" s="416"/>
      <c r="AO439" s="416"/>
    </row>
    <row r="440" spans="3:41" ht="15" customHeight="1">
      <c r="C440" s="297"/>
      <c r="D440" s="172" t="str">
        <f>IF(Indice_index!$Z$1=1,"março","March")</f>
        <v>março</v>
      </c>
      <c r="E440" s="1168">
        <v>1127</v>
      </c>
      <c r="F440" s="1168">
        <v>81</v>
      </c>
      <c r="G440" s="1168">
        <v>752</v>
      </c>
      <c r="H440" s="1168">
        <v>1960</v>
      </c>
      <c r="I440" s="1168">
        <v>1408</v>
      </c>
      <c r="J440" s="1169">
        <v>1752452.3</v>
      </c>
      <c r="K440" s="1169">
        <v>92017.790000000008</v>
      </c>
      <c r="L440" s="1169">
        <v>360523.12999999995</v>
      </c>
      <c r="M440" s="1169">
        <v>2204993.2200000002</v>
      </c>
      <c r="N440" s="1169">
        <v>1619825.08</v>
      </c>
      <c r="O440" s="1170">
        <v>1526.9</v>
      </c>
      <c r="P440" s="1171">
        <v>479.4</v>
      </c>
      <c r="R440" s="230"/>
      <c r="S440" s="230"/>
      <c r="T440" s="230"/>
      <c r="U440" s="230"/>
      <c r="V440" s="230"/>
      <c r="W440" s="230"/>
      <c r="X440" s="230"/>
      <c r="Y440" s="230"/>
      <c r="Z440" s="230"/>
      <c r="AA440" s="230"/>
      <c r="AB440" s="230"/>
      <c r="AC440" s="230"/>
      <c r="AD440" s="416"/>
      <c r="AE440" s="416"/>
      <c r="AF440" s="416"/>
      <c r="AG440" s="416"/>
      <c r="AH440" s="416"/>
      <c r="AI440" s="416"/>
      <c r="AJ440" s="416"/>
      <c r="AK440" s="416"/>
      <c r="AL440" s="416"/>
      <c r="AM440" s="416"/>
      <c r="AN440" s="416"/>
      <c r="AO440" s="416"/>
    </row>
    <row r="441" spans="3:41" ht="15" customHeight="1">
      <c r="C441" s="297"/>
      <c r="D441" s="172" t="str">
        <f>IF(Indice_index!$Z$1=1,"abril","April")</f>
        <v>abril</v>
      </c>
      <c r="E441" s="1131">
        <v>1334</v>
      </c>
      <c r="F441" s="1131">
        <v>67</v>
      </c>
      <c r="G441" s="1131">
        <v>932</v>
      </c>
      <c r="H441" s="1131">
        <v>2333</v>
      </c>
      <c r="I441" s="1131">
        <v>1429</v>
      </c>
      <c r="J441" s="1132">
        <v>1988858.03</v>
      </c>
      <c r="K441" s="1132">
        <v>70479.95</v>
      </c>
      <c r="L441" s="1132">
        <v>490821.11999999988</v>
      </c>
      <c r="M441" s="1132">
        <v>2550159.0999999996</v>
      </c>
      <c r="N441" s="1132">
        <v>1619993.07</v>
      </c>
      <c r="O441" s="1132">
        <v>1469.9</v>
      </c>
      <c r="P441" s="1132">
        <v>526.6</v>
      </c>
      <c r="R441" s="230"/>
      <c r="S441" s="230"/>
      <c r="T441" s="230"/>
      <c r="U441" s="230"/>
      <c r="V441" s="230"/>
      <c r="W441" s="230"/>
      <c r="X441" s="230"/>
      <c r="Y441" s="230"/>
      <c r="Z441" s="230"/>
      <c r="AA441" s="230"/>
      <c r="AB441" s="230"/>
      <c r="AC441" s="230"/>
      <c r="AD441" s="416"/>
      <c r="AE441" s="416"/>
      <c r="AF441" s="416"/>
      <c r="AG441" s="416"/>
      <c r="AH441" s="416"/>
      <c r="AI441" s="416"/>
      <c r="AJ441" s="416"/>
      <c r="AK441" s="416"/>
      <c r="AL441" s="416"/>
      <c r="AM441" s="416"/>
      <c r="AN441" s="416"/>
      <c r="AO441" s="416"/>
    </row>
    <row r="442" spans="3:41" ht="15" customHeight="1">
      <c r="C442" s="297"/>
      <c r="D442" s="172" t="str">
        <f>IF(Indice_index!$Z$1=1,"maio","May")</f>
        <v>maio</v>
      </c>
      <c r="E442" s="1146">
        <v>1554</v>
      </c>
      <c r="F442" s="1146">
        <v>77</v>
      </c>
      <c r="G442" s="1146">
        <v>810</v>
      </c>
      <c r="H442" s="1146">
        <v>2441</v>
      </c>
      <c r="I442" s="1146">
        <v>1358</v>
      </c>
      <c r="J442" s="1147">
        <v>2514972.58</v>
      </c>
      <c r="K442" s="1147">
        <v>86613.47</v>
      </c>
      <c r="L442" s="1147">
        <v>459321.77999999997</v>
      </c>
      <c r="M442" s="1147">
        <v>3060907.83</v>
      </c>
      <c r="N442" s="1147">
        <v>1554368.07</v>
      </c>
      <c r="O442" s="1147">
        <v>1595.1</v>
      </c>
      <c r="P442" s="1147">
        <v>567.1</v>
      </c>
      <c r="R442" s="230"/>
      <c r="S442" s="230"/>
      <c r="T442" s="230"/>
      <c r="U442" s="230"/>
      <c r="V442" s="230"/>
      <c r="W442" s="230"/>
      <c r="X442" s="230"/>
      <c r="Y442" s="230"/>
      <c r="Z442" s="230"/>
      <c r="AA442" s="230"/>
      <c r="AB442" s="230"/>
      <c r="AC442" s="230"/>
      <c r="AD442" s="416"/>
      <c r="AE442" s="416"/>
      <c r="AF442" s="416"/>
      <c r="AG442" s="416"/>
      <c r="AH442" s="416"/>
      <c r="AI442" s="416"/>
      <c r="AJ442" s="416"/>
      <c r="AK442" s="416"/>
      <c r="AL442" s="416"/>
      <c r="AM442" s="416"/>
      <c r="AN442" s="416"/>
      <c r="AO442" s="416"/>
    </row>
    <row r="443" spans="3:41" ht="15" customHeight="1">
      <c r="C443" s="297"/>
      <c r="D443" s="172" t="str">
        <f>IF(Indice_index!$Z$1=1,"junho","June")</f>
        <v>junho</v>
      </c>
      <c r="E443" s="1148">
        <v>1596</v>
      </c>
      <c r="F443" s="1148">
        <v>97</v>
      </c>
      <c r="G443" s="1148">
        <v>836</v>
      </c>
      <c r="H443" s="1148">
        <v>2529</v>
      </c>
      <c r="I443" s="1148">
        <v>1321</v>
      </c>
      <c r="J443" s="1149">
        <v>2633457.0499999998</v>
      </c>
      <c r="K443" s="1149">
        <v>108886.82999999999</v>
      </c>
      <c r="L443" s="1149">
        <v>454842.29999999993</v>
      </c>
      <c r="M443" s="1149">
        <v>3197186.1799999997</v>
      </c>
      <c r="N443" s="1149">
        <v>1532259.16</v>
      </c>
      <c r="O443" s="1149">
        <v>1619.8</v>
      </c>
      <c r="P443" s="1149">
        <v>544.1</v>
      </c>
      <c r="R443" s="230"/>
      <c r="S443" s="230"/>
      <c r="T443" s="230"/>
      <c r="U443" s="230"/>
      <c r="V443" s="230"/>
      <c r="W443" s="230"/>
      <c r="X443" s="230"/>
      <c r="Y443" s="230"/>
      <c r="Z443" s="230"/>
      <c r="AA443" s="230"/>
      <c r="AB443" s="230"/>
      <c r="AC443" s="230"/>
    </row>
    <row r="444" spans="3:41" ht="15" customHeight="1">
      <c r="C444" s="297"/>
      <c r="D444" s="172" t="str">
        <f>IF(Indice_index!$Z$1=1,"julho","July")</f>
        <v>julho</v>
      </c>
      <c r="E444" s="1150">
        <v>1070</v>
      </c>
      <c r="F444" s="1150">
        <v>80</v>
      </c>
      <c r="G444" s="1150">
        <v>690</v>
      </c>
      <c r="H444" s="1150">
        <v>1840</v>
      </c>
      <c r="I444" s="1150">
        <v>1259</v>
      </c>
      <c r="J444" s="1151">
        <v>1703883.1</v>
      </c>
      <c r="K444" s="1151">
        <v>93666.53</v>
      </c>
      <c r="L444" s="1151">
        <v>373400.72000000003</v>
      </c>
      <c r="M444" s="1151">
        <v>2170950.35</v>
      </c>
      <c r="N444" s="1151">
        <v>1450557.63</v>
      </c>
      <c r="O444" s="1151">
        <v>1563.1</v>
      </c>
      <c r="P444" s="1151">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agosto</v>
      </c>
      <c r="E445" s="1152">
        <v>1166</v>
      </c>
      <c r="F445" s="1152">
        <v>80</v>
      </c>
      <c r="G445" s="1152">
        <v>775</v>
      </c>
      <c r="H445" s="1152">
        <v>2021</v>
      </c>
      <c r="I445" s="1152">
        <v>1365</v>
      </c>
      <c r="J445" s="1153">
        <v>1887668.71</v>
      </c>
      <c r="K445" s="1153">
        <v>86358.26</v>
      </c>
      <c r="L445" s="1153">
        <v>456072.92</v>
      </c>
      <c r="M445" s="1153">
        <v>2430099.89</v>
      </c>
      <c r="N445" s="1153">
        <v>1584615.03</v>
      </c>
      <c r="O445" s="1154">
        <v>1584.3</v>
      </c>
      <c r="P445" s="1154">
        <v>588.5</v>
      </c>
      <c r="X445" s="229"/>
      <c r="Y445" s="229"/>
      <c r="Z445" s="229"/>
      <c r="AA445" s="229"/>
    </row>
    <row r="446" spans="3:41" ht="18" customHeight="1">
      <c r="C446" s="297"/>
      <c r="D446" s="172" t="str">
        <f>IF(Indice_index!$Z$1=1,"setembro","September")</f>
        <v>setembro</v>
      </c>
      <c r="E446" s="1172">
        <v>1334</v>
      </c>
      <c r="F446" s="1172">
        <v>88</v>
      </c>
      <c r="G446" s="1172">
        <v>840</v>
      </c>
      <c r="H446" s="1172">
        <v>2262</v>
      </c>
      <c r="I446" s="1172">
        <v>1298</v>
      </c>
      <c r="J446" s="1173">
        <v>2203343.7999999998</v>
      </c>
      <c r="K446" s="1173">
        <v>112425.97</v>
      </c>
      <c r="L446" s="1173">
        <v>424194.71999999991</v>
      </c>
      <c r="M446" s="1173">
        <v>2739964.4899999998</v>
      </c>
      <c r="N446" s="1173">
        <v>1478157.47</v>
      </c>
      <c r="O446" s="1174">
        <v>1628.5</v>
      </c>
      <c r="P446" s="1175">
        <v>505</v>
      </c>
      <c r="X446" s="229"/>
      <c r="Y446" s="229"/>
      <c r="Z446" s="229"/>
      <c r="AA446" s="229"/>
    </row>
    <row r="447" spans="3:41" ht="15.75" customHeight="1">
      <c r="C447" s="297"/>
      <c r="D447" s="172" t="str">
        <f>IF(Indice_index!$Z$1=1,"outubro","October")</f>
        <v>outubro</v>
      </c>
      <c r="E447" s="1137">
        <v>1353</v>
      </c>
      <c r="F447" s="1137">
        <v>72</v>
      </c>
      <c r="G447" s="1137">
        <v>782</v>
      </c>
      <c r="H447" s="1137">
        <v>2207</v>
      </c>
      <c r="I447" s="1137">
        <v>1268</v>
      </c>
      <c r="J447" s="1138">
        <v>2191545.09</v>
      </c>
      <c r="K447" s="1138">
        <v>91807.31</v>
      </c>
      <c r="L447" s="1138">
        <v>384863.00000000006</v>
      </c>
      <c r="M447" s="1138">
        <v>2668215.4</v>
      </c>
      <c r="N447" s="1138">
        <v>1459873.36</v>
      </c>
      <c r="O447" s="1138">
        <v>1602.4</v>
      </c>
      <c r="P447" s="1138">
        <v>492.2</v>
      </c>
      <c r="X447" s="229"/>
      <c r="Y447" s="229"/>
      <c r="Z447" s="229"/>
      <c r="AA447" s="229"/>
    </row>
    <row r="448" spans="3:41" s="171" customFormat="1" ht="12" customHeight="1">
      <c r="C448" s="1130"/>
      <c r="D448" s="172" t="str">
        <f>IF(Indice_index!$Z$1=1,"novembro","November")</f>
        <v>novembro</v>
      </c>
      <c r="E448" s="1176">
        <v>1108</v>
      </c>
      <c r="F448" s="1176">
        <v>71</v>
      </c>
      <c r="G448" s="1176">
        <v>870</v>
      </c>
      <c r="H448" s="1176">
        <v>2049</v>
      </c>
      <c r="I448" s="1176">
        <v>1162</v>
      </c>
      <c r="J448" s="1177">
        <v>1714741.7</v>
      </c>
      <c r="K448" s="1177">
        <v>78488.25</v>
      </c>
      <c r="L448" s="1177">
        <v>510018.96999999991</v>
      </c>
      <c r="M448" s="1177">
        <v>2303248.92</v>
      </c>
      <c r="N448" s="1177">
        <v>1361787.88</v>
      </c>
      <c r="O448" s="1178">
        <v>1521</v>
      </c>
      <c r="P448" s="1179">
        <v>586.20000000000005</v>
      </c>
      <c r="R448" s="229"/>
      <c r="S448" s="229"/>
      <c r="T448" s="229"/>
      <c r="U448" s="229"/>
      <c r="V448" s="229"/>
      <c r="W448" s="229"/>
      <c r="X448" s="229"/>
      <c r="Y448" s="229"/>
      <c r="Z448" s="229"/>
      <c r="AA448" s="229"/>
      <c r="AB448" s="229"/>
      <c r="AC448" s="229"/>
    </row>
    <row r="449" spans="3:26" ht="15" customHeight="1">
      <c r="C449" s="1052"/>
      <c r="D449" s="172" t="str">
        <f>IF(Indice_index!$Z$1=1,"dezembro","December")</f>
        <v>dezembro</v>
      </c>
      <c r="E449" s="1158">
        <v>1573</v>
      </c>
      <c r="F449" s="1158">
        <v>87</v>
      </c>
      <c r="G449" s="1158">
        <v>902</v>
      </c>
      <c r="H449" s="1158">
        <v>2562</v>
      </c>
      <c r="I449" s="1158">
        <v>1251</v>
      </c>
      <c r="J449" s="1159">
        <v>2484452.7599999998</v>
      </c>
      <c r="K449" s="1159">
        <v>95869.8</v>
      </c>
      <c r="L449" s="1159">
        <v>515297.80999999988</v>
      </c>
      <c r="M449" s="1159">
        <v>3095620.3699999996</v>
      </c>
      <c r="N449" s="1159">
        <v>1481113.01</v>
      </c>
      <c r="O449" s="1160">
        <v>1554.4</v>
      </c>
      <c r="P449" s="1160">
        <v>571.29999999999995</v>
      </c>
    </row>
    <row r="450" spans="3:26" ht="3.6" customHeight="1">
      <c r="C450" s="1045"/>
      <c r="D450" s="1046"/>
      <c r="E450" s="1046"/>
      <c r="F450" s="1046"/>
      <c r="G450" s="1046"/>
      <c r="H450" s="1046"/>
      <c r="I450" s="1046"/>
      <c r="J450" s="1046"/>
      <c r="K450" s="1046"/>
      <c r="L450" s="1046"/>
      <c r="M450" s="1046"/>
      <c r="N450" s="1046"/>
      <c r="O450" s="1046"/>
      <c r="P450" s="1046"/>
      <c r="X450" s="229"/>
      <c r="Y450" s="229"/>
      <c r="Z450" s="229"/>
    </row>
    <row r="451" spans="3:26" ht="15" customHeight="1">
      <c r="C451" s="1180"/>
      <c r="F451" s="170"/>
      <c r="G451" s="170"/>
      <c r="H451" s="170"/>
      <c r="I451" s="170"/>
      <c r="J451" s="170"/>
      <c r="K451" s="170"/>
      <c r="L451" s="172"/>
      <c r="M451" s="172"/>
      <c r="N451" s="172"/>
      <c r="O451" s="229"/>
      <c r="P451" s="229"/>
      <c r="R451" s="171"/>
    </row>
    <row r="452" spans="3:26" ht="15" customHeight="1">
      <c r="C452" s="1180"/>
      <c r="F452" s="170"/>
      <c r="G452" s="170"/>
      <c r="H452" s="170"/>
      <c r="I452" s="170"/>
      <c r="J452" s="170"/>
      <c r="K452" s="170"/>
      <c r="L452" s="172"/>
      <c r="M452" s="172"/>
      <c r="N452" s="172"/>
      <c r="O452" s="229"/>
      <c r="P452" s="229"/>
      <c r="R452" s="171"/>
    </row>
    <row r="453" spans="3:26" ht="15" customHeight="1">
      <c r="C453" s="1122"/>
      <c r="D453" s="1094"/>
      <c r="E453" s="171"/>
      <c r="F453" s="1094"/>
      <c r="G453" s="1094"/>
      <c r="H453" s="171"/>
      <c r="I453" s="171"/>
      <c r="J453" s="171"/>
      <c r="K453" s="171"/>
      <c r="O453" s="85"/>
      <c r="P453" s="229"/>
    </row>
    <row r="454" spans="3:26" ht="12" customHeight="1">
      <c r="C454" s="1043"/>
      <c r="D454" s="1123"/>
      <c r="E454" s="1797" t="str">
        <f>IF(Indice_index!$Z$1=1,"VH do número de pensionistas (%)","YOY Change Rate of the number of subscribers (%)")</f>
        <v>VH do número de pensionistas (%)</v>
      </c>
      <c r="F454" s="1797"/>
      <c r="G454" s="1797"/>
      <c r="H454" s="1797"/>
      <c r="I454" s="1797"/>
      <c r="J454" s="1767" t="str">
        <f>IF(Indice_index!$Z$1=1,"VHA da Despesa com pensões (€)","YOY Change Rate of the Expense with Pensions")</f>
        <v>VHA da Despesa com pensões (€)</v>
      </c>
      <c r="K454" s="1767"/>
      <c r="L454" s="1767"/>
      <c r="M454" s="1767"/>
      <c r="N454" s="1767"/>
      <c r="O454" s="1798" t="str">
        <f>IF(Indice_index!$Z$1=1,"VHA Pensão média nova Aposentação/Reforma (€)","YOY Change Rate of the Average Value paid per new Retirment Pensioner")</f>
        <v>VHA Pensão média nova Aposentação/Reforma (€)</v>
      </c>
      <c r="P454" s="1799" t="str">
        <f>IF(Indice_index!$Z$1=1,"VHA Pensão média nova Sobrevivência e Outras (€)","YOY Change Rate of the Average Value paid per new Survival and Others Pensioner")</f>
        <v>VHA Pensão média nova Sobrevivência e Outras (€)</v>
      </c>
    </row>
    <row r="455" spans="3:26" ht="12" customHeight="1">
      <c r="C455" s="1122"/>
      <c r="D455" s="1124"/>
      <c r="E455" s="1797" t="str">
        <f>IF(Indice_index!$Z$1=1,"Novos","New")</f>
        <v>Novos</v>
      </c>
      <c r="F455" s="1797"/>
      <c r="G455" s="1797"/>
      <c r="H455" s="1797"/>
      <c r="I455" s="1798" t="str">
        <f>IF(Indice_index!$Z$1=1,"Abonos abatidos de Aposentação /Reforma","Allowances deducted from Retirement / Pension")</f>
        <v>Abonos abatidos de Aposentação /Reforma</v>
      </c>
      <c r="J455" s="1767" t="str">
        <f>IF(Indice_index!$Z$1=1,"Novos","New")</f>
        <v>Novos</v>
      </c>
      <c r="K455" s="1767"/>
      <c r="L455" s="1767"/>
      <c r="M455" s="1767"/>
      <c r="N455" s="1798" t="str">
        <f>IF(Indice_index!$Z$1=1,"Abonos abatidos de Aposentação /Reforma","Allowances deducted from Retirement / Pension")</f>
        <v>Abonos abatidos de Aposentação /Reforma</v>
      </c>
      <c r="O455" s="1798"/>
      <c r="P455" s="1799"/>
    </row>
    <row r="456" spans="3:26" ht="42" customHeight="1">
      <c r="C456" s="1045"/>
      <c r="D456" s="1125"/>
      <c r="E456" s="1047" t="str">
        <f>IF(Indice_index!$Z$1=1,"Velhice e Outros Motivos","Old age and other Reasons")</f>
        <v>Velhice e Outros Motivos</v>
      </c>
      <c r="F456" s="1048" t="str">
        <f>IF(Indice_index!$Z$1=1,"Invalidez","Disability")</f>
        <v>Invalidez</v>
      </c>
      <c r="G456" s="1047" t="str">
        <f>IF(Indice_index!$Z$1=1,"Sobrevivência e Outros","Survival and Others")</f>
        <v>Sobrevivência e Outros</v>
      </c>
      <c r="H456" s="1047" t="str">
        <f>IF(Indice_index!$Z$1=1,"Total de Pensionistas","Total of Pensioners")</f>
        <v>Total de Pensionistas</v>
      </c>
      <c r="I456" s="1798"/>
      <c r="J456" s="1047" t="str">
        <f>IF(Indice_index!$Z$1=1,"Velhice e Outros Motivos","Old age and other Reasons")</f>
        <v>Velhice e Outros Motivos</v>
      </c>
      <c r="K456" s="1048" t="str">
        <f>IF(Indice_index!$Z$1=1,"Invalidez","Disability")</f>
        <v>Invalidez</v>
      </c>
      <c r="L456" s="1047" t="str">
        <f>IF(Indice_index!$Z$1=1,"Sobrevivência e Outros","Survival and Others")</f>
        <v>Sobrevivência e Outros</v>
      </c>
      <c r="M456" s="1047" t="str">
        <f>IF(Indice_index!$Z$1=1,"Total","Total")</f>
        <v>Total</v>
      </c>
      <c r="N456" s="1798"/>
      <c r="O456" s="1798"/>
      <c r="P456" s="1799"/>
    </row>
    <row r="457" spans="3:26" hidden="1">
      <c r="C457" s="1049" t="s">
        <v>11</v>
      </c>
      <c r="D457" s="631"/>
      <c r="E457" s="1126"/>
      <c r="F457" s="1126"/>
      <c r="G457" s="1126"/>
      <c r="H457" s="1126"/>
      <c r="I457" s="1126"/>
      <c r="J457" s="1127"/>
      <c r="K457" s="1127"/>
      <c r="L457" s="1127"/>
      <c r="N457" s="1126"/>
      <c r="O457" s="1127"/>
      <c r="P457" s="229"/>
    </row>
    <row r="458" spans="3:26" hidden="1">
      <c r="C458" s="1049"/>
      <c r="D458" s="172" t="str">
        <f>IF(Indice_index!$Z$1=1,"janeiro","January")</f>
        <v>janeiro</v>
      </c>
      <c r="E458" s="1127">
        <v>9.6999999999999993</v>
      </c>
      <c r="F458" s="1127">
        <v>5.3</v>
      </c>
      <c r="G458" s="1127">
        <v>21.4</v>
      </c>
      <c r="H458" s="1127">
        <v>12.1</v>
      </c>
      <c r="I458" s="1127">
        <v>-7.8</v>
      </c>
      <c r="J458" s="1127">
        <v>6.5</v>
      </c>
      <c r="K458" s="1127">
        <v>26.4</v>
      </c>
      <c r="L458" s="1127">
        <v>20.6</v>
      </c>
      <c r="M458" s="171">
        <v>9.1999999999999993</v>
      </c>
      <c r="N458" s="1127">
        <v>-5.5</v>
      </c>
      <c r="O458" s="1127">
        <v>-1.1000000000000001</v>
      </c>
      <c r="P458" s="229">
        <v>-0.7</v>
      </c>
    </row>
    <row r="459" spans="3:26" hidden="1">
      <c r="C459" s="1050"/>
      <c r="D459" s="172" t="str">
        <f>IF(Indice_index!$Z$1=1,"fevereiro","February")</f>
        <v>fevereiro</v>
      </c>
      <c r="E459" s="1127">
        <v>-22.3</v>
      </c>
      <c r="F459" s="1127">
        <v>4.3</v>
      </c>
      <c r="G459" s="1127">
        <v>-6.4</v>
      </c>
      <c r="H459" s="1127">
        <v>-16.2</v>
      </c>
      <c r="I459" s="1127">
        <v>1.5</v>
      </c>
      <c r="J459" s="1127">
        <v>-36.799999999999997</v>
      </c>
      <c r="K459" s="1127">
        <v>6.5</v>
      </c>
      <c r="L459" s="1127">
        <v>-4.5999999999999996</v>
      </c>
      <c r="M459" s="171">
        <v>-30.7</v>
      </c>
      <c r="N459" s="1127">
        <v>-1.2</v>
      </c>
      <c r="O459" s="1127">
        <v>-17.3</v>
      </c>
      <c r="P459" s="1127">
        <v>1.9</v>
      </c>
    </row>
    <row r="460" spans="3:26" hidden="1">
      <c r="C460" s="1050"/>
      <c r="D460" s="172" t="str">
        <f>IF(Indice_index!$Z$1=1,"março","March")</f>
        <v>março</v>
      </c>
      <c r="E460" s="1127">
        <v>25.9</v>
      </c>
      <c r="F460" s="1127">
        <v>-41.8</v>
      </c>
      <c r="G460" s="1127">
        <v>-28</v>
      </c>
      <c r="H460" s="1127">
        <v>-0.5</v>
      </c>
      <c r="I460" s="1127">
        <v>2.1</v>
      </c>
      <c r="J460" s="1127">
        <v>8.5</v>
      </c>
      <c r="K460" s="1127">
        <v>-38.9</v>
      </c>
      <c r="L460" s="1127">
        <v>-30.1</v>
      </c>
      <c r="M460" s="171">
        <v>-3.6</v>
      </c>
      <c r="N460" s="1127">
        <v>3.8</v>
      </c>
      <c r="O460" s="1127">
        <v>-11.4</v>
      </c>
      <c r="P460" s="1127">
        <v>-2.8</v>
      </c>
    </row>
    <row r="461" spans="3:26" hidden="1">
      <c r="C461" s="1050"/>
      <c r="D461" s="172" t="str">
        <f>IF(Indice_index!$Z$1=1,"abril","April")</f>
        <v>abril</v>
      </c>
      <c r="E461" s="1127">
        <v>25.4</v>
      </c>
      <c r="F461" s="1127">
        <v>-34.700000000000003</v>
      </c>
      <c r="G461" s="1127">
        <v>-26.5</v>
      </c>
      <c r="H461" s="1127">
        <v>1.8</v>
      </c>
      <c r="I461" s="1127">
        <v>-18</v>
      </c>
      <c r="J461" s="1127">
        <v>15.4</v>
      </c>
      <c r="K461" s="1127">
        <v>-38</v>
      </c>
      <c r="L461" s="1127">
        <v>-13.2</v>
      </c>
      <c r="M461" s="171">
        <v>3.9</v>
      </c>
      <c r="N461" s="1127">
        <v>-16.8</v>
      </c>
      <c r="O461" s="1127">
        <v>-7.7</v>
      </c>
      <c r="P461" s="1127">
        <v>18.100000000000001</v>
      </c>
    </row>
    <row r="462" spans="3:26" hidden="1">
      <c r="C462" s="1050"/>
      <c r="D462" s="172" t="str">
        <f>IF(Indice_index!$Z$1=1,"maio","May")</f>
        <v>maio</v>
      </c>
      <c r="E462" s="1127">
        <v>7.9</v>
      </c>
      <c r="F462" s="1127">
        <v>37.6</v>
      </c>
      <c r="G462" s="1127">
        <v>-6.6</v>
      </c>
      <c r="H462" s="1127">
        <v>5.4</v>
      </c>
      <c r="I462" s="1127">
        <v>-4.4000000000000004</v>
      </c>
      <c r="J462" s="1127">
        <v>8</v>
      </c>
      <c r="K462" s="1127">
        <v>46.1</v>
      </c>
      <c r="L462" s="1127">
        <v>-5.7</v>
      </c>
      <c r="M462" s="171">
        <v>8.6</v>
      </c>
      <c r="N462" s="1127">
        <v>-1.3</v>
      </c>
      <c r="O462" s="1127">
        <v>0.8</v>
      </c>
      <c r="P462" s="1127">
        <v>0.9</v>
      </c>
    </row>
    <row r="463" spans="3:26" hidden="1">
      <c r="C463" s="1050"/>
      <c r="D463" s="172" t="str">
        <f>IF(Indice_index!$Z$1=1,"junho","June")</f>
        <v>junho</v>
      </c>
      <c r="E463" s="1127">
        <v>-21.2</v>
      </c>
      <c r="F463" s="1127">
        <v>73</v>
      </c>
      <c r="G463" s="1127">
        <v>-15</v>
      </c>
      <c r="H463" s="1127">
        <v>-11.9</v>
      </c>
      <c r="I463" s="1127">
        <v>8.4</v>
      </c>
      <c r="J463" s="1127">
        <v>-4.0999999999999996</v>
      </c>
      <c r="K463" s="1127">
        <v>57.3</v>
      </c>
      <c r="L463" s="1127">
        <v>-15.1</v>
      </c>
      <c r="M463" s="171">
        <v>0.8</v>
      </c>
      <c r="N463" s="1127">
        <v>13.2</v>
      </c>
      <c r="O463" s="1127">
        <v>16.3</v>
      </c>
      <c r="P463" s="1127">
        <v>-0.1</v>
      </c>
    </row>
    <row r="464" spans="3:26" hidden="1">
      <c r="C464" s="1050"/>
      <c r="D464" s="172" t="str">
        <f>IF(Indice_index!$Z$1=1,"julho","July")</f>
        <v>julho</v>
      </c>
      <c r="E464" s="1127">
        <v>-23.3</v>
      </c>
      <c r="F464" s="1127">
        <v>-9.9</v>
      </c>
      <c r="G464" s="1127">
        <v>-16.2</v>
      </c>
      <c r="H464" s="1127">
        <v>-20.399999999999999</v>
      </c>
      <c r="I464" s="1127">
        <v>2.5</v>
      </c>
      <c r="J464" s="1127">
        <v>-25.5</v>
      </c>
      <c r="K464" s="1127">
        <v>2.2000000000000002</v>
      </c>
      <c r="L464" s="1127">
        <v>-7.8</v>
      </c>
      <c r="M464" s="171">
        <v>-21.1</v>
      </c>
      <c r="N464" s="1127">
        <v>5</v>
      </c>
      <c r="O464" s="1127">
        <v>-1.3</v>
      </c>
      <c r="P464" s="1127">
        <v>10.1</v>
      </c>
    </row>
    <row r="465" spans="3:16" hidden="1">
      <c r="C465" s="1050"/>
      <c r="D465" s="172" t="str">
        <f>IF(Indice_index!$Z$1=1,"agosto","August")</f>
        <v>agosto</v>
      </c>
      <c r="E465" s="1127">
        <v>-41.2</v>
      </c>
      <c r="F465" s="1127">
        <v>-19.600000000000001</v>
      </c>
      <c r="G465" s="1127">
        <v>4.0999999999999996</v>
      </c>
      <c r="H465" s="1127">
        <v>-26.4</v>
      </c>
      <c r="I465" s="1127">
        <v>19.8</v>
      </c>
      <c r="J465" s="1127">
        <v>-31.5</v>
      </c>
      <c r="K465" s="1127">
        <v>-13.5</v>
      </c>
      <c r="L465" s="1127">
        <v>14.3</v>
      </c>
      <c r="M465" s="171">
        <v>-22.9</v>
      </c>
      <c r="N465" s="1127">
        <v>15.2</v>
      </c>
      <c r="O465" s="1127">
        <v>15.7</v>
      </c>
      <c r="P465" s="1127">
        <v>9.6999999999999993</v>
      </c>
    </row>
    <row r="466" spans="3:16" hidden="1">
      <c r="C466" s="1050"/>
      <c r="D466" s="172" t="str">
        <f>IF(Indice_index!$Z$1=1,"setembro","September")</f>
        <v>setembro</v>
      </c>
      <c r="E466" s="1127">
        <v>-50.9</v>
      </c>
      <c r="F466" s="1127">
        <v>-35.9</v>
      </c>
      <c r="G466" s="1127">
        <v>-7.9</v>
      </c>
      <c r="H466" s="1127">
        <v>-39.6</v>
      </c>
      <c r="I466" s="1127">
        <v>16.3</v>
      </c>
      <c r="J466" s="1127">
        <v>-50</v>
      </c>
      <c r="K466" s="1127">
        <v>-20.5</v>
      </c>
      <c r="L466" s="1127">
        <v>1.7</v>
      </c>
      <c r="M466" s="171">
        <v>-42.5</v>
      </c>
      <c r="N466" s="1127">
        <v>27.2</v>
      </c>
      <c r="O466" s="1127">
        <v>3.4</v>
      </c>
      <c r="P466" s="1127">
        <v>10.4</v>
      </c>
    </row>
    <row r="467" spans="3:16" hidden="1">
      <c r="C467" s="1050"/>
      <c r="D467" s="172" t="str">
        <f>IF(Indice_index!$Z$1=1,"outubro","October")</f>
        <v>outubro</v>
      </c>
      <c r="E467" s="1127">
        <v>-34.1</v>
      </c>
      <c r="F467" s="1127">
        <v>-47.3</v>
      </c>
      <c r="G467" s="1127">
        <v>16.7</v>
      </c>
      <c r="H467" s="1127">
        <v>-22.5</v>
      </c>
      <c r="I467" s="1127">
        <v>1.1000000000000001</v>
      </c>
      <c r="J467" s="1127">
        <v>-27.2</v>
      </c>
      <c r="K467" s="1127">
        <v>-46.5</v>
      </c>
      <c r="L467" s="1127">
        <v>3.3</v>
      </c>
      <c r="M467" s="171">
        <v>-25.6</v>
      </c>
      <c r="N467" s="1127">
        <v>10</v>
      </c>
      <c r="O467" s="1127">
        <v>10</v>
      </c>
      <c r="P467" s="1127">
        <v>-11.5</v>
      </c>
    </row>
    <row r="468" spans="3:16" hidden="1">
      <c r="C468" s="1050"/>
      <c r="D468" s="172" t="str">
        <f>IF(Indice_index!$Z$1=1,"novembro","November")</f>
        <v>novembro</v>
      </c>
      <c r="E468" s="1127">
        <v>64</v>
      </c>
      <c r="F468" s="1127">
        <v>485.2</v>
      </c>
      <c r="G468" s="1127">
        <v>38.200000000000003</v>
      </c>
      <c r="H468" s="1127">
        <v>68.3</v>
      </c>
      <c r="I468" s="1127">
        <v>10.7</v>
      </c>
      <c r="J468" s="1127">
        <v>69.400000000000006</v>
      </c>
      <c r="K468" s="1127">
        <v>521.20000000000005</v>
      </c>
      <c r="L468" s="1127">
        <v>55.5</v>
      </c>
      <c r="M468" s="171">
        <v>81.900000000000006</v>
      </c>
      <c r="N468" s="1127">
        <v>14.7</v>
      </c>
      <c r="O468" s="1127">
        <v>1.1000000000000001</v>
      </c>
      <c r="P468" s="1127">
        <v>12.6</v>
      </c>
    </row>
    <row r="469" spans="3:16" hidden="1">
      <c r="C469" s="1050"/>
      <c r="D469" s="172" t="str">
        <f>IF(Indice_index!$Z$1=1,"dezembro","December")</f>
        <v>dezembro</v>
      </c>
      <c r="E469" s="1127">
        <v>96.8</v>
      </c>
      <c r="F469" s="1127">
        <v>43.5</v>
      </c>
      <c r="G469" s="1127">
        <v>22.7</v>
      </c>
      <c r="H469" s="1127">
        <v>64.400000000000006</v>
      </c>
      <c r="I469" s="1127">
        <v>2.8</v>
      </c>
      <c r="J469" s="1127">
        <v>160.6</v>
      </c>
      <c r="K469" s="1127">
        <v>59.4</v>
      </c>
      <c r="L469" s="1127">
        <v>29.5</v>
      </c>
      <c r="M469" s="171">
        <v>129.19999999999999</v>
      </c>
      <c r="N469" s="1127">
        <v>-1.3</v>
      </c>
      <c r="O469" s="1127">
        <v>31.9</v>
      </c>
      <c r="P469" s="1127">
        <v>5.6</v>
      </c>
    </row>
    <row r="470" spans="3:16" hidden="1">
      <c r="C470" s="1049" t="s">
        <v>12</v>
      </c>
      <c r="D470" s="171"/>
      <c r="E470" s="1127"/>
      <c r="F470" s="1127"/>
      <c r="G470" s="1127"/>
      <c r="H470" s="1127"/>
      <c r="I470" s="1127"/>
      <c r="J470" s="1127"/>
      <c r="K470" s="1127"/>
      <c r="L470" s="1127"/>
      <c r="N470" s="1127"/>
      <c r="O470" s="1127"/>
      <c r="P470" s="1127"/>
    </row>
    <row r="471" spans="3:16" hidden="1">
      <c r="C471" s="1050"/>
      <c r="D471" s="172" t="str">
        <f>IF(Indice_index!$Z$1=1,"janeiro","January")</f>
        <v>janeiro</v>
      </c>
      <c r="E471" s="1127">
        <v>-3.2</v>
      </c>
      <c r="F471" s="1127">
        <v>66.5</v>
      </c>
      <c r="G471" s="1127">
        <v>-6.9</v>
      </c>
      <c r="H471" s="1127">
        <v>1</v>
      </c>
      <c r="I471" s="1127">
        <v>5.5</v>
      </c>
      <c r="J471" s="1127">
        <v>-10.7</v>
      </c>
      <c r="K471" s="1127">
        <v>50.7</v>
      </c>
      <c r="L471" s="1127">
        <v>-12.1</v>
      </c>
      <c r="M471" s="171">
        <v>-6.1</v>
      </c>
      <c r="N471" s="1127">
        <v>8.3000000000000007</v>
      </c>
      <c r="O471" s="1127">
        <v>-8.8000000000000007</v>
      </c>
      <c r="P471" s="1127">
        <v>-5.6</v>
      </c>
    </row>
    <row r="472" spans="3:16" hidden="1">
      <c r="C472" s="1050"/>
      <c r="D472" s="172" t="str">
        <f>IF(Indice_index!$Z$1=1,"fevereiro","February")</f>
        <v>fevereiro</v>
      </c>
      <c r="E472" s="1127">
        <v>1.5</v>
      </c>
      <c r="F472" s="1127">
        <v>-25.7</v>
      </c>
      <c r="G472" s="1127">
        <v>2.6</v>
      </c>
      <c r="H472" s="1127">
        <v>-0.6</v>
      </c>
      <c r="I472" s="1127">
        <v>18.7</v>
      </c>
      <c r="J472" s="1127">
        <v>-5.7</v>
      </c>
      <c r="K472" s="1127">
        <v>-11.9</v>
      </c>
      <c r="L472" s="1127">
        <v>9.1999999999999993</v>
      </c>
      <c r="M472" s="171">
        <v>-4.2</v>
      </c>
      <c r="N472" s="1127">
        <v>16.3</v>
      </c>
      <c r="O472" s="1127">
        <v>-4.5</v>
      </c>
      <c r="P472" s="1127">
        <v>6.5</v>
      </c>
    </row>
    <row r="473" spans="3:16" hidden="1">
      <c r="C473" s="1050"/>
      <c r="D473" s="172" t="str">
        <f>IF(Indice_index!$Z$1=1,"março","March")</f>
        <v>março</v>
      </c>
      <c r="E473" s="1127">
        <v>-6.7</v>
      </c>
      <c r="F473" s="1127">
        <v>-45.8</v>
      </c>
      <c r="G473" s="1127">
        <v>23.2</v>
      </c>
      <c r="H473" s="1127">
        <v>-1</v>
      </c>
      <c r="I473" s="1127">
        <v>0.7</v>
      </c>
      <c r="J473" s="1127">
        <v>1.8</v>
      </c>
      <c r="K473" s="1127">
        <v>-42.3</v>
      </c>
      <c r="L473" s="1127">
        <v>32.4</v>
      </c>
      <c r="M473" s="171">
        <v>2.9</v>
      </c>
      <c r="N473" s="1127">
        <v>7.7</v>
      </c>
      <c r="O473" s="1127">
        <v>9</v>
      </c>
      <c r="P473" s="1127">
        <v>7.5</v>
      </c>
    </row>
    <row r="474" spans="3:16" hidden="1">
      <c r="C474" s="1050"/>
      <c r="D474" s="172" t="str">
        <f>IF(Indice_index!$Z$1=1,"abril","April")</f>
        <v>abril</v>
      </c>
      <c r="E474" s="1127">
        <v>-29.8</v>
      </c>
      <c r="F474" s="1127">
        <v>92.7</v>
      </c>
      <c r="G474" s="1127">
        <v>21.9</v>
      </c>
      <c r="H474" s="1127">
        <v>-9.3000000000000007</v>
      </c>
      <c r="I474" s="1127">
        <v>-1.8</v>
      </c>
      <c r="J474" s="1127">
        <v>-15.5</v>
      </c>
      <c r="K474" s="1127">
        <v>92.4</v>
      </c>
      <c r="L474" s="1127">
        <v>14.5</v>
      </c>
      <c r="M474" s="171">
        <v>-3.2</v>
      </c>
      <c r="N474" s="1127">
        <v>5.7</v>
      </c>
      <c r="O474" s="1127">
        <v>16.5</v>
      </c>
      <c r="P474" s="1127">
        <v>-6</v>
      </c>
    </row>
    <row r="475" spans="3:16" hidden="1">
      <c r="C475" s="1050"/>
      <c r="D475" s="172" t="str">
        <f>IF(Indice_index!$Z$1=1,"maio","May")</f>
        <v>maio</v>
      </c>
      <c r="E475" s="1127">
        <v>-15.7</v>
      </c>
      <c r="F475" s="1127">
        <v>-41.7</v>
      </c>
      <c r="G475" s="1127">
        <v>-12.1</v>
      </c>
      <c r="H475" s="1127">
        <v>-16.7</v>
      </c>
      <c r="I475" s="1127">
        <v>-10</v>
      </c>
      <c r="J475" s="1127">
        <v>0.8</v>
      </c>
      <c r="K475" s="1127">
        <v>-42.1</v>
      </c>
      <c r="L475" s="1127">
        <v>-11.4</v>
      </c>
      <c r="M475" s="171">
        <v>-5</v>
      </c>
      <c r="N475" s="1127">
        <v>-3.9</v>
      </c>
      <c r="O475" s="1127">
        <v>17.600000000000001</v>
      </c>
      <c r="P475" s="1127">
        <v>0.8</v>
      </c>
    </row>
    <row r="476" spans="3:16" hidden="1">
      <c r="C476" s="1050"/>
      <c r="D476" s="172" t="str">
        <f>IF(Indice_index!$Z$1=1,"junho","June")</f>
        <v>junho</v>
      </c>
      <c r="E476" s="1127">
        <v>13.7</v>
      </c>
      <c r="F476" s="1127">
        <v>-51.6</v>
      </c>
      <c r="G476" s="1127">
        <v>2.4</v>
      </c>
      <c r="H476" s="1127">
        <v>0.3</v>
      </c>
      <c r="I476" s="1127">
        <v>-3.8</v>
      </c>
      <c r="J476" s="1127">
        <v>10.199999999999999</v>
      </c>
      <c r="K476" s="1127">
        <v>-49</v>
      </c>
      <c r="L476" s="1127">
        <v>6.5</v>
      </c>
      <c r="M476" s="171">
        <v>-0.5</v>
      </c>
      <c r="N476" s="1127">
        <v>-1.6</v>
      </c>
      <c r="O476" s="1127">
        <v>-1.1000000000000001</v>
      </c>
      <c r="P476" s="1127">
        <v>4</v>
      </c>
    </row>
    <row r="477" spans="3:16" hidden="1">
      <c r="C477" s="1050"/>
      <c r="D477" s="172" t="str">
        <f>IF(Indice_index!$Z$1=1,"julho","July")</f>
        <v>julho</v>
      </c>
      <c r="E477" s="1127">
        <v>48.062654575432809</v>
      </c>
      <c r="F477" s="1127">
        <v>-46.951219512195117</v>
      </c>
      <c r="G477" s="1127">
        <v>2441.199226305609</v>
      </c>
      <c r="H477" s="1127">
        <v>693.08342133051747</v>
      </c>
      <c r="I477" s="1127">
        <v>-1.9540229885057472</v>
      </c>
      <c r="J477" s="1127">
        <v>43.702225973332972</v>
      </c>
      <c r="K477" s="1127">
        <v>-53.782405155228375</v>
      </c>
      <c r="L477" s="1127">
        <v>887.03572526265975</v>
      </c>
      <c r="M477" s="171">
        <v>153.12099766206697</v>
      </c>
      <c r="N477" s="1127">
        <v>-2.6524096708472138</v>
      </c>
      <c r="O477" s="1127">
        <v>-3.6830256641152714</v>
      </c>
      <c r="P477" s="1127">
        <v>-61.169016963008382</v>
      </c>
    </row>
    <row r="478" spans="3:16" hidden="1">
      <c r="C478" s="1050"/>
      <c r="D478" s="172" t="str">
        <f>IF(Indice_index!$Z$1=1,"agosto","August")</f>
        <v>agosto</v>
      </c>
      <c r="E478" s="1127">
        <v>185.1</v>
      </c>
      <c r="F478" s="1127">
        <v>124.4</v>
      </c>
      <c r="G478" s="1127">
        <v>-1</v>
      </c>
      <c r="H478" s="1127">
        <v>102.9</v>
      </c>
      <c r="I478" s="1127">
        <v>2.6</v>
      </c>
      <c r="J478" s="1127">
        <v>50.8</v>
      </c>
      <c r="K478" s="1127">
        <v>74.8</v>
      </c>
      <c r="L478" s="1127">
        <v>3</v>
      </c>
      <c r="M478" s="171">
        <v>42</v>
      </c>
      <c r="N478" s="1127">
        <v>8.3000000000000007</v>
      </c>
      <c r="O478" s="1127">
        <v>-44.8</v>
      </c>
      <c r="P478" s="1127">
        <v>4.0999999999999996</v>
      </c>
    </row>
    <row r="479" spans="3:16" hidden="1">
      <c r="C479" s="1050"/>
      <c r="D479" s="172" t="str">
        <f>IF(Indice_index!$Z$1=1,"setembro","September")</f>
        <v>setembro</v>
      </c>
      <c r="E479" s="1127">
        <v>169.2</v>
      </c>
      <c r="F479" s="1127">
        <v>147.69999999999999</v>
      </c>
      <c r="G479" s="1127">
        <v>-4.5999999999999996</v>
      </c>
      <c r="H479" s="1127">
        <v>104.1</v>
      </c>
      <c r="I479" s="1127">
        <v>-17.100000000000001</v>
      </c>
      <c r="J479" s="1127">
        <v>54.2</v>
      </c>
      <c r="K479" s="1127">
        <v>93.8</v>
      </c>
      <c r="L479" s="1127">
        <v>-9.4</v>
      </c>
      <c r="M479" s="171">
        <v>45.3</v>
      </c>
      <c r="N479" s="1127">
        <v>-19.399999999999999</v>
      </c>
      <c r="O479" s="1127">
        <v>-40.6</v>
      </c>
      <c r="P479" s="1127">
        <v>-5.0999999999999996</v>
      </c>
    </row>
    <row r="480" spans="3:16" hidden="1">
      <c r="C480" s="1050"/>
      <c r="D480" s="172" t="str">
        <f>IF(Indice_index!$Z$1=1,"outubro","October")</f>
        <v>outubro</v>
      </c>
      <c r="E480" s="1127">
        <v>56.8</v>
      </c>
      <c r="F480" s="1127">
        <v>1</v>
      </c>
      <c r="G480" s="1127">
        <v>25.4</v>
      </c>
      <c r="H480" s="1127">
        <v>41.9</v>
      </c>
      <c r="I480" s="1127">
        <v>6.9</v>
      </c>
      <c r="J480" s="1127">
        <v>13.3</v>
      </c>
      <c r="K480" s="1127">
        <v>-14.1</v>
      </c>
      <c r="L480" s="1127">
        <v>39.299999999999997</v>
      </c>
      <c r="M480" s="171">
        <v>15.5</v>
      </c>
      <c r="N480" s="1127">
        <v>5.2</v>
      </c>
      <c r="O480" s="1127">
        <v>-26.7</v>
      </c>
      <c r="P480" s="1127">
        <v>11.1</v>
      </c>
    </row>
    <row r="481" spans="3:27" hidden="1">
      <c r="C481" s="1050"/>
      <c r="D481" s="172" t="str">
        <f>IF(Indice_index!$Z$1=1,"novembro","November")</f>
        <v>novembro</v>
      </c>
      <c r="E481" s="1127">
        <v>-11.3</v>
      </c>
      <c r="F481" s="1127">
        <v>-60.2</v>
      </c>
      <c r="G481" s="1127">
        <v>-10</v>
      </c>
      <c r="H481" s="1127">
        <v>-16.2</v>
      </c>
      <c r="I481" s="1127">
        <v>12.8</v>
      </c>
      <c r="J481" s="1127">
        <v>-29.5</v>
      </c>
      <c r="K481" s="1127">
        <v>-69.7</v>
      </c>
      <c r="L481" s="1127">
        <v>-13.7</v>
      </c>
      <c r="M481" s="171">
        <v>-32</v>
      </c>
      <c r="N481" s="1127">
        <v>7.6</v>
      </c>
      <c r="O481" s="1127">
        <v>-19.399999999999999</v>
      </c>
      <c r="P481" s="1127">
        <v>-4.0999999999999996</v>
      </c>
    </row>
    <row r="482" spans="3:27" hidden="1">
      <c r="C482" s="1050"/>
      <c r="D482" s="172" t="str">
        <f>IF(Indice_index!$Z$1=1,"dezembro","December")</f>
        <v>dezembro</v>
      </c>
      <c r="E482" s="1127">
        <v>-21.3</v>
      </c>
      <c r="F482" s="1127">
        <v>-12.9</v>
      </c>
      <c r="G482" s="1127">
        <v>-23.2</v>
      </c>
      <c r="H482" s="1127">
        <v>-21.5</v>
      </c>
      <c r="I482" s="1127">
        <v>2.7</v>
      </c>
      <c r="J482" s="1127">
        <v>-45.2</v>
      </c>
      <c r="K482" s="1127">
        <v>-34.1</v>
      </c>
      <c r="L482" s="1127">
        <v>-23.6</v>
      </c>
      <c r="M482" s="171">
        <v>-42.3</v>
      </c>
      <c r="N482" s="1127">
        <v>8.8000000000000007</v>
      </c>
      <c r="O482" s="1127">
        <v>-30.2</v>
      </c>
      <c r="P482" s="1127">
        <v>-0.6</v>
      </c>
    </row>
    <row r="483" spans="3:27" hidden="1">
      <c r="C483" s="1051">
        <v>2015</v>
      </c>
      <c r="D483" s="171"/>
      <c r="E483" s="1127"/>
      <c r="F483" s="1127"/>
      <c r="G483" s="1127"/>
      <c r="H483" s="1127"/>
      <c r="I483" s="1127"/>
      <c r="J483" s="1127"/>
      <c r="K483" s="1127"/>
      <c r="L483" s="1127"/>
      <c r="N483" s="1127"/>
      <c r="O483" s="1127"/>
      <c r="P483" s="1127"/>
    </row>
    <row r="484" spans="3:27" ht="11.25" hidden="1">
      <c r="C484" s="1050"/>
      <c r="D484" s="172" t="str">
        <f>IF(Indice_index!$Z$1=1,"janeiro","January")</f>
        <v>janeiro</v>
      </c>
      <c r="E484" s="1127">
        <v>13.3</v>
      </c>
      <c r="F484" s="1127">
        <v>-54.4</v>
      </c>
      <c r="G484" s="1127">
        <v>4.5</v>
      </c>
      <c r="H484" s="1127">
        <v>3</v>
      </c>
      <c r="I484" s="1127">
        <v>3.8</v>
      </c>
      <c r="J484" s="1127">
        <v>12.3</v>
      </c>
      <c r="K484" s="1127">
        <v>-68</v>
      </c>
      <c r="L484" s="1127">
        <v>13.2</v>
      </c>
      <c r="M484" s="171">
        <v>2.4</v>
      </c>
      <c r="N484" s="1127">
        <v>4</v>
      </c>
      <c r="O484" s="1127">
        <v>-1.2</v>
      </c>
      <c r="P484" s="1127">
        <v>8.4</v>
      </c>
      <c r="X484" s="229"/>
      <c r="Y484" s="229"/>
      <c r="Z484" s="229"/>
      <c r="AA484" s="229"/>
    </row>
    <row r="485" spans="3:27" ht="11.25" hidden="1">
      <c r="C485" s="1050"/>
      <c r="D485" s="172" t="str">
        <f>IF(Indice_index!$Z$1=1,"fevereiro","February")</f>
        <v>fevereiro</v>
      </c>
      <c r="E485" s="1127">
        <v>12</v>
      </c>
      <c r="F485" s="1127">
        <v>-42</v>
      </c>
      <c r="G485" s="1127">
        <v>-29.1</v>
      </c>
      <c r="H485" s="1127">
        <v>-4.2</v>
      </c>
      <c r="I485" s="1127">
        <v>-4.4000000000000004</v>
      </c>
      <c r="J485" s="1127">
        <v>21.2</v>
      </c>
      <c r="K485" s="1127">
        <v>-55.1</v>
      </c>
      <c r="L485" s="1127">
        <v>-18.7</v>
      </c>
      <c r="M485" s="171">
        <v>7.8</v>
      </c>
      <c r="N485" s="1127">
        <v>-1.7</v>
      </c>
      <c r="O485" s="1127">
        <v>5.7</v>
      </c>
      <c r="P485" s="1127">
        <v>14.6</v>
      </c>
      <c r="X485" s="229"/>
      <c r="Y485" s="229"/>
      <c r="Z485" s="229"/>
      <c r="AA485" s="229"/>
    </row>
    <row r="486" spans="3:27" ht="11.25" hidden="1">
      <c r="C486" s="1050"/>
      <c r="D486" s="172" t="str">
        <f>IF(Indice_index!$Z$1=1,"março","March")</f>
        <v>março</v>
      </c>
      <c r="E486" s="1127">
        <v>18.7</v>
      </c>
      <c r="F486" s="1127">
        <v>53.2</v>
      </c>
      <c r="G486" s="1127">
        <v>-12.7</v>
      </c>
      <c r="H486" s="1127">
        <v>9.4</v>
      </c>
      <c r="I486" s="1127">
        <v>30.5</v>
      </c>
      <c r="J486" s="1127">
        <v>25.3</v>
      </c>
      <c r="K486" s="1127">
        <v>29.2</v>
      </c>
      <c r="L486" s="1127">
        <v>-11.1</v>
      </c>
      <c r="M486" s="171">
        <v>19.3</v>
      </c>
      <c r="N486" s="1127">
        <v>32.799999999999997</v>
      </c>
      <c r="O486" s="1127">
        <v>4.2</v>
      </c>
      <c r="P486" s="1127">
        <v>1.8</v>
      </c>
      <c r="X486" s="229"/>
      <c r="Y486" s="229"/>
      <c r="Z486" s="229"/>
      <c r="AA486" s="229"/>
    </row>
    <row r="487" spans="3:27" ht="11.25" hidden="1">
      <c r="C487" s="1050"/>
      <c r="D487" s="172" t="str">
        <f>IF(Indice_index!$Z$1=1,"abril","April")</f>
        <v>abril</v>
      </c>
      <c r="E487" s="1127">
        <v>8.1</v>
      </c>
      <c r="F487" s="1127">
        <v>-36.1</v>
      </c>
      <c r="G487" s="1127">
        <v>16.399999999999999</v>
      </c>
      <c r="H487" s="1127">
        <v>4.8</v>
      </c>
      <c r="I487" s="1127">
        <v>28.5</v>
      </c>
      <c r="J487" s="1127">
        <v>7.5</v>
      </c>
      <c r="K487" s="1127">
        <v>-45.7</v>
      </c>
      <c r="L487" s="1127">
        <v>20.9</v>
      </c>
      <c r="M487" s="171">
        <v>1.7</v>
      </c>
      <c r="N487" s="1127">
        <v>22.7</v>
      </c>
      <c r="O487" s="1127">
        <v>-1.2</v>
      </c>
      <c r="P487" s="1127">
        <v>3.9</v>
      </c>
      <c r="X487" s="229"/>
      <c r="Y487" s="229"/>
      <c r="Z487" s="229"/>
      <c r="AA487" s="229"/>
    </row>
    <row r="488" spans="3:27" ht="11.25" hidden="1">
      <c r="C488" s="1050"/>
      <c r="D488" s="172" t="str">
        <f>IF(Indice_index!$Z$1=1,"maio","May")</f>
        <v>maio</v>
      </c>
      <c r="E488" s="1127">
        <v>-11.5</v>
      </c>
      <c r="F488" s="1127">
        <v>7.1</v>
      </c>
      <c r="G488" s="1127">
        <v>324.3</v>
      </c>
      <c r="H488" s="1127">
        <v>82.2</v>
      </c>
      <c r="I488" s="1127">
        <v>16.399999999999999</v>
      </c>
      <c r="J488" s="1127">
        <v>-24.9</v>
      </c>
      <c r="K488" s="1127">
        <v>-10</v>
      </c>
      <c r="L488" s="1127">
        <v>105.5</v>
      </c>
      <c r="M488" s="171">
        <v>-7.2</v>
      </c>
      <c r="N488" s="1127">
        <v>12.2</v>
      </c>
      <c r="O488" s="1127">
        <v>-15.3</v>
      </c>
      <c r="P488" s="1127">
        <v>-51.6</v>
      </c>
      <c r="X488" s="229"/>
      <c r="Y488" s="229"/>
      <c r="Z488" s="229"/>
      <c r="AA488" s="229"/>
    </row>
    <row r="489" spans="3:27" ht="11.25" hidden="1">
      <c r="C489" s="1050"/>
      <c r="D489" s="172" t="str">
        <f>IF(Indice_index!$Z$1=1,"junho","June")</f>
        <v>junho</v>
      </c>
      <c r="E489" s="1127">
        <v>-21.4</v>
      </c>
      <c r="F489" s="1127">
        <v>-1.6</v>
      </c>
      <c r="G489" s="1127">
        <v>-4.0999999999999996</v>
      </c>
      <c r="H489" s="1127">
        <v>-14.7</v>
      </c>
      <c r="I489" s="1127">
        <v>-6.5</v>
      </c>
      <c r="J489" s="1127">
        <v>-38.700000000000003</v>
      </c>
      <c r="K489" s="1127">
        <v>-27.8</v>
      </c>
      <c r="L489" s="1127">
        <v>-10.1</v>
      </c>
      <c r="M489" s="171">
        <v>-33.299999999999997</v>
      </c>
      <c r="N489" s="1127">
        <v>-6.8</v>
      </c>
      <c r="O489" s="1127">
        <v>-22.7</v>
      </c>
      <c r="P489" s="1127">
        <v>-6.3</v>
      </c>
      <c r="X489" s="229"/>
      <c r="Y489" s="229"/>
      <c r="Z489" s="229"/>
      <c r="AA489" s="229"/>
    </row>
    <row r="490" spans="3:27" ht="11.25" hidden="1">
      <c r="C490" s="1050"/>
      <c r="D490" s="172" t="str">
        <f>IF(Indice_index!$Z$1=1,"julho","July")</f>
        <v>julho</v>
      </c>
      <c r="E490" s="1127">
        <v>-63</v>
      </c>
      <c r="F490" s="1127">
        <v>72.400000000000006</v>
      </c>
      <c r="G490" s="1127">
        <v>-93.9</v>
      </c>
      <c r="H490" s="1127">
        <v>-89.2</v>
      </c>
      <c r="I490" s="1127">
        <v>10.9</v>
      </c>
      <c r="J490" s="1127">
        <v>-58.5</v>
      </c>
      <c r="K490" s="1127">
        <v>89.4</v>
      </c>
      <c r="L490" s="1127">
        <v>-84.7</v>
      </c>
      <c r="M490" s="171">
        <v>-70.2</v>
      </c>
      <c r="N490" s="1127">
        <v>11.9</v>
      </c>
      <c r="O490" s="1127">
        <v>10.6</v>
      </c>
      <c r="P490" s="1127">
        <v>150.1</v>
      </c>
      <c r="X490" s="229"/>
      <c r="Y490" s="229"/>
      <c r="Z490" s="229"/>
      <c r="AA490" s="229"/>
    </row>
    <row r="491" spans="3:27" ht="11.25" hidden="1">
      <c r="C491" s="1050"/>
      <c r="D491" s="172" t="str">
        <f>IF(Indice_index!$Z$1=1,"agosto","August")</f>
        <v>agosto</v>
      </c>
      <c r="E491" s="1127">
        <v>-54.8</v>
      </c>
      <c r="F491" s="1127">
        <v>-36.799999999999997</v>
      </c>
      <c r="G491" s="1127">
        <v>-4.0999999999999996</v>
      </c>
      <c r="H491" s="1127">
        <v>-43.1</v>
      </c>
      <c r="I491" s="1127">
        <v>7.9</v>
      </c>
      <c r="J491" s="1127">
        <v>-59.1</v>
      </c>
      <c r="K491" s="1127">
        <v>-18.7</v>
      </c>
      <c r="L491" s="1127">
        <v>-11.1</v>
      </c>
      <c r="M491" s="171">
        <v>-46.5</v>
      </c>
      <c r="N491" s="1127">
        <v>2.2000000000000002</v>
      </c>
      <c r="O491" s="1127">
        <v>-1.2</v>
      </c>
      <c r="P491" s="1127">
        <v>-7.3</v>
      </c>
      <c r="X491" s="229"/>
      <c r="Y491" s="229"/>
      <c r="Z491" s="229"/>
      <c r="AA491" s="229"/>
    </row>
    <row r="492" spans="3:27" ht="11.25" hidden="1">
      <c r="C492" s="1050"/>
      <c r="D492" s="172" t="str">
        <f>IF(Indice_index!$Z$1=1,"setembro","September")</f>
        <v>setembro</v>
      </c>
      <c r="E492" s="1127">
        <v>-60.8</v>
      </c>
      <c r="F492" s="1127">
        <v>-31.9</v>
      </c>
      <c r="G492" s="1127">
        <v>32.200000000000003</v>
      </c>
      <c r="H492" s="1127">
        <v>-42.5</v>
      </c>
      <c r="I492" s="1127">
        <v>7.4</v>
      </c>
      <c r="J492" s="1127">
        <v>-40.200000000000003</v>
      </c>
      <c r="K492" s="1127">
        <v>-32.4</v>
      </c>
      <c r="L492" s="1127">
        <v>42.6</v>
      </c>
      <c r="M492" s="171">
        <v>-29.2</v>
      </c>
      <c r="N492" s="1127">
        <v>14.2</v>
      </c>
      <c r="O492" s="1127">
        <v>44.9</v>
      </c>
      <c r="P492" s="1127">
        <v>7.9</v>
      </c>
      <c r="X492" s="229"/>
      <c r="Y492" s="229"/>
      <c r="Z492" s="229"/>
      <c r="AA492" s="229"/>
    </row>
    <row r="493" spans="3:27" ht="11.25" hidden="1">
      <c r="C493" s="1050"/>
      <c r="D493" s="172" t="str">
        <f>IF(Indice_index!$Z$1=1,"outubro","October")</f>
        <v>outubro</v>
      </c>
      <c r="E493" s="1127">
        <v>-51.1</v>
      </c>
      <c r="F493" s="1127">
        <v>58</v>
      </c>
      <c r="G493" s="1127">
        <v>-35.6</v>
      </c>
      <c r="H493" s="1127">
        <v>-41.7</v>
      </c>
      <c r="I493" s="1127">
        <v>1.1000000000000001</v>
      </c>
      <c r="J493" s="1127">
        <v>-60</v>
      </c>
      <c r="K493" s="1127">
        <v>81.400000000000006</v>
      </c>
      <c r="L493" s="1127">
        <v>-33.799999999999997</v>
      </c>
      <c r="M493" s="171">
        <v>-48.8</v>
      </c>
      <c r="N493" s="1127">
        <v>-2.4</v>
      </c>
      <c r="O493" s="1127">
        <v>-13.1</v>
      </c>
      <c r="P493" s="1127">
        <v>2.8</v>
      </c>
      <c r="X493" s="229"/>
      <c r="Y493" s="229"/>
      <c r="Z493" s="229"/>
      <c r="AA493" s="229"/>
    </row>
    <row r="494" spans="3:27" ht="11.25" hidden="1">
      <c r="C494" s="1050"/>
      <c r="D494" s="172" t="str">
        <f>IF(Indice_index!$Z$1=1,"novembro","November")</f>
        <v>novembro</v>
      </c>
      <c r="E494" s="1127">
        <v>-64</v>
      </c>
      <c r="F494" s="1127">
        <v>-42.3</v>
      </c>
      <c r="G494" s="1127">
        <v>-8</v>
      </c>
      <c r="H494" s="1127">
        <v>-46.1</v>
      </c>
      <c r="I494" s="1127">
        <v>-3.9</v>
      </c>
      <c r="J494" s="1127">
        <v>-70.3</v>
      </c>
      <c r="K494" s="1127">
        <v>-42.6</v>
      </c>
      <c r="L494" s="1127">
        <v>-0.4</v>
      </c>
      <c r="M494" s="171">
        <v>-58.8</v>
      </c>
      <c r="N494" s="1127">
        <v>-3</v>
      </c>
      <c r="O494" s="1127">
        <v>-16.7</v>
      </c>
      <c r="P494" s="1127">
        <v>8.3000000000000007</v>
      </c>
      <c r="X494" s="229"/>
      <c r="Y494" s="229"/>
      <c r="Z494" s="229"/>
      <c r="AA494" s="229"/>
    </row>
    <row r="495" spans="3:27" ht="11.25" hidden="1">
      <c r="C495" s="1050"/>
      <c r="D495" s="172" t="str">
        <f>IF(Indice_index!$Z$1=1,"dezembro","December")</f>
        <v>dezembro</v>
      </c>
      <c r="E495" s="1127">
        <v>-57.5</v>
      </c>
      <c r="F495" s="1127">
        <v>60.9</v>
      </c>
      <c r="G495" s="1127">
        <v>6.2</v>
      </c>
      <c r="H495" s="1127">
        <v>-33</v>
      </c>
      <c r="I495" s="1127">
        <v>-0.1</v>
      </c>
      <c r="J495" s="1127">
        <v>-64.900000000000006</v>
      </c>
      <c r="K495" s="1127">
        <v>118.7</v>
      </c>
      <c r="L495" s="1127">
        <v>1.7</v>
      </c>
      <c r="M495" s="171">
        <v>-47</v>
      </c>
      <c r="N495" s="1127">
        <v>-1.7</v>
      </c>
      <c r="O495" s="1127">
        <v>-12.2</v>
      </c>
      <c r="P495" s="1127">
        <v>-4.2</v>
      </c>
      <c r="X495" s="229"/>
      <c r="Y495" s="229"/>
      <c r="Z495" s="229"/>
      <c r="AA495" s="229"/>
    </row>
    <row r="496" spans="3:27" hidden="1">
      <c r="C496" s="1130">
        <v>2016</v>
      </c>
      <c r="D496" s="171"/>
      <c r="E496" s="1127"/>
      <c r="F496" s="1127"/>
      <c r="G496" s="1127"/>
      <c r="H496" s="1127"/>
      <c r="I496" s="1127"/>
      <c r="J496" s="1127"/>
      <c r="K496" s="1127"/>
      <c r="L496" s="1127"/>
      <c r="N496" s="1127"/>
      <c r="O496" s="1127"/>
      <c r="P496" s="1127"/>
    </row>
    <row r="497" spans="3:29" hidden="1">
      <c r="C497" s="1050"/>
      <c r="D497" s="172" t="str">
        <f>IF(Indice_index!$Z$1=1,"janeiro","January")</f>
        <v>janeiro</v>
      </c>
      <c r="E497" s="1127">
        <v>-67.2</v>
      </c>
      <c r="F497" s="1127">
        <v>-16.2</v>
      </c>
      <c r="G497" s="1127">
        <v>-9.1</v>
      </c>
      <c r="H497" s="1127">
        <v>-50.4</v>
      </c>
      <c r="I497" s="1127">
        <v>-2.5</v>
      </c>
      <c r="J497" s="1127">
        <v>-76.900000000000006</v>
      </c>
      <c r="K497" s="1127">
        <v>10.4</v>
      </c>
      <c r="L497" s="1127">
        <v>-4.4000000000000004</v>
      </c>
      <c r="M497" s="171">
        <v>-65.8</v>
      </c>
      <c r="N497" s="1127">
        <v>-1.1000000000000001</v>
      </c>
      <c r="O497" s="1127">
        <v>-26.2</v>
      </c>
      <c r="P497" s="1127">
        <v>5.0999999999999996</v>
      </c>
    </row>
    <row r="498" spans="3:29" hidden="1">
      <c r="C498" s="1050"/>
      <c r="D498" s="172" t="str">
        <f>IF(Indice_index!$Z$1=1,"fevereiro","February")</f>
        <v>fevereiro</v>
      </c>
      <c r="E498" s="1127">
        <v>-64.5</v>
      </c>
      <c r="F498" s="1127">
        <v>-13.8</v>
      </c>
      <c r="G498" s="1127">
        <v>14.3</v>
      </c>
      <c r="H498" s="1127">
        <v>-44.5</v>
      </c>
      <c r="I498" s="1127">
        <v>-8.9</v>
      </c>
      <c r="J498" s="1127">
        <v>-72.900000000000006</v>
      </c>
      <c r="K498" s="1127">
        <v>-2.9</v>
      </c>
      <c r="L498" s="1127">
        <v>-2.7</v>
      </c>
      <c r="M498" s="171">
        <v>-61.7</v>
      </c>
      <c r="N498" s="1127">
        <v>-8.4</v>
      </c>
      <c r="O498" s="1127">
        <v>-21.1</v>
      </c>
      <c r="P498" s="1127">
        <v>-14.9</v>
      </c>
    </row>
    <row r="499" spans="3:29" hidden="1">
      <c r="C499" s="1050"/>
      <c r="D499" s="172" t="str">
        <f>IF(Indice_index!$Z$1=1,"março","March")</f>
        <v>março</v>
      </c>
      <c r="E499" s="1127">
        <v>-60.1</v>
      </c>
      <c r="F499" s="1127">
        <v>20.3</v>
      </c>
      <c r="G499" s="1127">
        <v>-6.6</v>
      </c>
      <c r="H499" s="1127">
        <v>-42.5</v>
      </c>
      <c r="I499" s="1127">
        <v>-18.5</v>
      </c>
      <c r="J499" s="1127">
        <v>-69.599999999999994</v>
      </c>
      <c r="K499" s="1127">
        <v>32.799999999999997</v>
      </c>
      <c r="L499" s="1127">
        <v>-7.7</v>
      </c>
      <c r="M499" s="171">
        <v>-57.6</v>
      </c>
      <c r="N499" s="1127">
        <v>-18.3</v>
      </c>
      <c r="O499" s="1127">
        <v>-21.1</v>
      </c>
      <c r="P499" s="1127">
        <v>-1.2</v>
      </c>
    </row>
    <row r="500" spans="3:29" hidden="1">
      <c r="C500" s="1050"/>
      <c r="D500" s="172" t="str">
        <f>IF(Indice_index!$Z$1=1,"abril","April")</f>
        <v>abril</v>
      </c>
      <c r="E500" s="1127">
        <v>-44.8</v>
      </c>
      <c r="F500" s="1127">
        <v>-33.5</v>
      </c>
      <c r="G500" s="1127">
        <v>-14.9</v>
      </c>
      <c r="H500" s="1127">
        <v>-33</v>
      </c>
      <c r="I500" s="1127">
        <v>-12.2</v>
      </c>
      <c r="J500" s="1127">
        <v>-62</v>
      </c>
      <c r="K500" s="1127">
        <v>-30.1</v>
      </c>
      <c r="L500" s="1127">
        <v>-14.2</v>
      </c>
      <c r="M500" s="171">
        <v>-50.3</v>
      </c>
      <c r="N500" s="1127">
        <v>-3.7</v>
      </c>
      <c r="O500" s="1127">
        <v>-27.4</v>
      </c>
      <c r="P500" s="1127">
        <v>0.9</v>
      </c>
    </row>
    <row r="501" spans="3:29" hidden="1">
      <c r="C501" s="1050"/>
      <c r="D501" s="172" t="str">
        <f>IF(Indice_index!$Z$1=1,"maio","May")</f>
        <v>maio</v>
      </c>
      <c r="E501" s="1127">
        <v>-61.1</v>
      </c>
      <c r="F501" s="1127">
        <v>-5.9</v>
      </c>
      <c r="G501" s="1127">
        <v>-74.2</v>
      </c>
      <c r="H501" s="1127">
        <v>-67.8</v>
      </c>
      <c r="I501" s="1127">
        <v>6.6</v>
      </c>
      <c r="J501" s="1127">
        <v>-70</v>
      </c>
      <c r="K501" s="1127">
        <v>1.9</v>
      </c>
      <c r="L501" s="1127">
        <v>-46.2</v>
      </c>
      <c r="M501" s="171">
        <v>-59.1</v>
      </c>
      <c r="N501" s="1127">
        <v>10.199999999999999</v>
      </c>
      <c r="O501" s="1127">
        <v>-18.399999999999999</v>
      </c>
      <c r="P501" s="1127">
        <v>108.4</v>
      </c>
    </row>
    <row r="502" spans="3:29" hidden="1">
      <c r="C502" s="1050"/>
      <c r="D502" s="172" t="str">
        <f>IF(Indice_index!$Z$1=1,"junho","June")</f>
        <v>junho</v>
      </c>
      <c r="E502" s="1127">
        <v>-50.7</v>
      </c>
      <c r="F502" s="1127">
        <v>-17.5</v>
      </c>
      <c r="G502" s="1127">
        <v>24.5</v>
      </c>
      <c r="H502" s="1127">
        <v>-22.1</v>
      </c>
      <c r="I502" s="1127">
        <v>14.6</v>
      </c>
      <c r="J502" s="1127">
        <v>-58.7</v>
      </c>
      <c r="K502" s="1127">
        <v>-11.1</v>
      </c>
      <c r="L502" s="1127">
        <v>34.6</v>
      </c>
      <c r="M502" s="1127">
        <v>-34.5</v>
      </c>
      <c r="N502" s="1127">
        <v>14.9</v>
      </c>
      <c r="O502" s="1127">
        <v>-12.3</v>
      </c>
      <c r="P502" s="1127">
        <v>8.1999999999999993</v>
      </c>
    </row>
    <row r="503" spans="3:29" hidden="1">
      <c r="C503" s="1050"/>
      <c r="D503" s="172" t="str">
        <f>IF(Indice_index!$Z$1=1,"julho","July")</f>
        <v>julho</v>
      </c>
      <c r="E503" s="1127">
        <v>-26.5</v>
      </c>
      <c r="F503" s="1127">
        <v>14.7</v>
      </c>
      <c r="G503" s="1127">
        <v>-21.1</v>
      </c>
      <c r="H503" s="1127">
        <v>-20</v>
      </c>
      <c r="I503" s="1127">
        <v>1.2</v>
      </c>
      <c r="J503" s="1127">
        <v>-47.9</v>
      </c>
      <c r="K503" s="1127">
        <v>-2.4</v>
      </c>
      <c r="L503" s="1127">
        <v>-16.899999999999999</v>
      </c>
      <c r="M503" s="1127">
        <v>-33.6</v>
      </c>
      <c r="N503" s="1127">
        <v>3.8</v>
      </c>
      <c r="O503" s="1127">
        <v>-26.2</v>
      </c>
      <c r="P503" s="1127">
        <v>5.3</v>
      </c>
    </row>
    <row r="504" spans="3:29" hidden="1">
      <c r="C504" s="1050"/>
      <c r="D504" s="172" t="str">
        <f>IF(Indice_index!$Z$1=1,"agosto","August")</f>
        <v>agosto</v>
      </c>
      <c r="E504" s="1127">
        <v>-60.3</v>
      </c>
      <c r="F504" s="1127">
        <v>-7.2</v>
      </c>
      <c r="G504" s="1127">
        <v>-26.7</v>
      </c>
      <c r="H504" s="1127">
        <v>-44.4</v>
      </c>
      <c r="I504" s="1127">
        <v>-7.3</v>
      </c>
      <c r="J504" s="1127">
        <v>-39.4</v>
      </c>
      <c r="K504" s="1127">
        <v>-25.8</v>
      </c>
      <c r="L504" s="1127">
        <v>-26.8</v>
      </c>
      <c r="M504" s="1127">
        <v>-33.6</v>
      </c>
      <c r="N504" s="1127">
        <v>-0.3</v>
      </c>
      <c r="O504" s="1127">
        <v>37.9</v>
      </c>
      <c r="P504" s="1127">
        <v>0</v>
      </c>
    </row>
    <row r="505" spans="3:29" hidden="1">
      <c r="C505" s="1050"/>
      <c r="D505" s="172" t="str">
        <f>IF(Indice_index!$Z$1=1,"setembro","September")</f>
        <v>setembro</v>
      </c>
      <c r="E505" s="1127">
        <v>-42</v>
      </c>
      <c r="F505" s="1127">
        <v>7.1</v>
      </c>
      <c r="G505" s="1127">
        <v>-13.5</v>
      </c>
      <c r="H505" s="1127">
        <v>-26</v>
      </c>
      <c r="I505" s="1127">
        <v>1.4</v>
      </c>
      <c r="J505" s="1127">
        <v>-43.6</v>
      </c>
      <c r="K505" s="1127">
        <v>2.7</v>
      </c>
      <c r="L505" s="1127">
        <v>-14.1</v>
      </c>
      <c r="M505" s="1127">
        <v>-31.2</v>
      </c>
      <c r="N505" s="1127">
        <v>-1.1000000000000001</v>
      </c>
      <c r="O505" s="1127">
        <v>-4</v>
      </c>
      <c r="P505" s="1127">
        <v>-0.7</v>
      </c>
    </row>
    <row r="506" spans="3:29" hidden="1">
      <c r="C506" s="1050"/>
      <c r="D506" s="172" t="str">
        <f>IF(Indice_index!$Z$1=1,"outubro","October")</f>
        <v>outubro</v>
      </c>
      <c r="E506" s="1127">
        <v>-33.6</v>
      </c>
      <c r="F506" s="1127">
        <v>-7.6</v>
      </c>
      <c r="G506" s="1127">
        <v>-10.199999999999999</v>
      </c>
      <c r="H506" s="1127">
        <v>-22.3</v>
      </c>
      <c r="I506" s="1127">
        <v>10.5</v>
      </c>
      <c r="J506" s="1127">
        <v>-33</v>
      </c>
      <c r="K506" s="1127">
        <v>-28.7</v>
      </c>
      <c r="L506" s="1127">
        <v>-10.6</v>
      </c>
      <c r="M506" s="1127">
        <v>-27.1</v>
      </c>
      <c r="N506" s="1127">
        <v>14.1</v>
      </c>
      <c r="O506" s="1127">
        <v>-3.9</v>
      </c>
      <c r="P506" s="1127">
        <v>-0.4</v>
      </c>
    </row>
    <row r="507" spans="3:29" s="171" customFormat="1" hidden="1">
      <c r="C507" s="1050"/>
      <c r="D507" s="172" t="str">
        <f>IF(Indice_index!$Z$1=1,"novembro","November")</f>
        <v>novembro</v>
      </c>
      <c r="E507" s="1127">
        <v>-30.3</v>
      </c>
      <c r="F507" s="1127">
        <v>-2.4</v>
      </c>
      <c r="G507" s="1127">
        <v>0.9</v>
      </c>
      <c r="H507" s="1127">
        <v>-12.8</v>
      </c>
      <c r="I507" s="1127">
        <v>-2.9</v>
      </c>
      <c r="J507" s="1127">
        <v>-39.700000000000003</v>
      </c>
      <c r="K507" s="1127">
        <v>-7.3</v>
      </c>
      <c r="L507" s="1127">
        <v>-4.3</v>
      </c>
      <c r="M507" s="1127">
        <v>-25.1</v>
      </c>
      <c r="N507" s="1127">
        <v>-3.8</v>
      </c>
      <c r="O507" s="1127">
        <v>-12.6</v>
      </c>
      <c r="P507" s="1127">
        <v>-5.2</v>
      </c>
      <c r="X507" s="699"/>
      <c r="Y507" s="699"/>
      <c r="Z507" s="699"/>
      <c r="AA507" s="172"/>
    </row>
    <row r="508" spans="3:29" s="171" customFormat="1" hidden="1">
      <c r="C508" s="1050"/>
      <c r="D508" s="172" t="str">
        <f>IF(Indice_index!$Z$1=1,"dezembro","December")</f>
        <v>dezembro</v>
      </c>
      <c r="E508" s="1127">
        <v>-2</v>
      </c>
      <c r="F508" s="1127">
        <v>-5.4</v>
      </c>
      <c r="G508" s="1127">
        <v>-9.6</v>
      </c>
      <c r="H508" s="1127">
        <v>-5.9</v>
      </c>
      <c r="I508" s="1127">
        <v>8.3000000000000007</v>
      </c>
      <c r="J508" s="1127">
        <v>-1.3</v>
      </c>
      <c r="K508" s="1127">
        <v>-28.8</v>
      </c>
      <c r="L508" s="1127">
        <v>-5.6</v>
      </c>
      <c r="M508" s="1127">
        <v>-7.5</v>
      </c>
      <c r="N508" s="1127">
        <v>10.5</v>
      </c>
      <c r="O508" s="1127">
        <v>-5.7</v>
      </c>
      <c r="P508" s="1127">
        <v>4.5</v>
      </c>
      <c r="X508" s="699"/>
      <c r="Y508" s="699"/>
      <c r="Z508" s="699"/>
      <c r="AA508" s="172"/>
    </row>
    <row r="509" spans="3:29" hidden="1">
      <c r="C509" s="1130">
        <v>2017</v>
      </c>
      <c r="D509" s="171"/>
      <c r="E509" s="1127"/>
      <c r="F509" s="1127"/>
      <c r="G509" s="1127"/>
      <c r="H509" s="1127"/>
      <c r="I509" s="1127"/>
      <c r="J509" s="1127"/>
      <c r="K509" s="1127"/>
      <c r="L509" s="1127"/>
      <c r="N509" s="1127"/>
      <c r="O509" s="1127"/>
      <c r="P509" s="1127"/>
    </row>
    <row r="510" spans="3:29" s="171" customFormat="1" ht="11.25" hidden="1">
      <c r="C510" s="1050"/>
      <c r="D510" s="172" t="str">
        <f>IF(Indice_index!$Z$1=1,"janeiro","January")</f>
        <v>janeiro</v>
      </c>
      <c r="E510" s="1127">
        <v>35.299999999999997</v>
      </c>
      <c r="F510" s="1127">
        <v>22.8</v>
      </c>
      <c r="G510" s="1127">
        <v>7.6</v>
      </c>
      <c r="H510" s="1127">
        <v>21.9</v>
      </c>
      <c r="I510" s="1127">
        <v>8.8000000000000007</v>
      </c>
      <c r="J510" s="1127">
        <v>4</v>
      </c>
      <c r="K510" s="1127">
        <v>14.1</v>
      </c>
      <c r="L510" s="1127">
        <v>3.5</v>
      </c>
      <c r="M510" s="1127">
        <v>5.0999999999999996</v>
      </c>
      <c r="N510" s="1127">
        <v>4.8</v>
      </c>
      <c r="O510" s="1127">
        <v>-20.6</v>
      </c>
      <c r="P510" s="1127">
        <v>-3.9</v>
      </c>
      <c r="R510" s="229"/>
      <c r="S510" s="229"/>
      <c r="T510" s="229"/>
      <c r="U510" s="229"/>
      <c r="V510" s="229"/>
      <c r="W510" s="229"/>
      <c r="X510" s="229"/>
      <c r="Y510" s="229"/>
      <c r="Z510" s="229"/>
      <c r="AA510" s="229"/>
      <c r="AB510" s="229"/>
      <c r="AC510" s="229"/>
    </row>
    <row r="511" spans="3:29" s="171" customFormat="1" ht="11.25" hidden="1">
      <c r="C511" s="1050"/>
      <c r="D511" s="172" t="str">
        <f>IF(Indice_index!$Z$1=1,"fevereiro","February")</f>
        <v>fevereiro</v>
      </c>
      <c r="E511" s="1127">
        <v>-5.8</v>
      </c>
      <c r="F511" s="1127">
        <v>56.8</v>
      </c>
      <c r="G511" s="1127">
        <v>24.3</v>
      </c>
      <c r="H511" s="1127">
        <v>12.3</v>
      </c>
      <c r="I511" s="1127">
        <v>36.1</v>
      </c>
      <c r="J511" s="1127">
        <v>0.9</v>
      </c>
      <c r="K511" s="1127">
        <v>37.299999999999997</v>
      </c>
      <c r="L511" s="1127">
        <v>32.200000000000003</v>
      </c>
      <c r="M511" s="1127">
        <v>14.1</v>
      </c>
      <c r="N511" s="1127">
        <v>38</v>
      </c>
      <c r="O511" s="1127">
        <v>4.4000000000000004</v>
      </c>
      <c r="P511" s="1127">
        <v>6.3</v>
      </c>
      <c r="R511" s="229"/>
      <c r="S511" s="229"/>
      <c r="T511" s="229"/>
      <c r="U511" s="229"/>
      <c r="V511" s="229"/>
      <c r="W511" s="229"/>
      <c r="X511" s="229"/>
      <c r="Y511" s="229"/>
      <c r="Z511" s="229"/>
      <c r="AA511" s="229"/>
      <c r="AB511" s="229"/>
      <c r="AC511" s="229"/>
    </row>
    <row r="512" spans="3:29" s="171" customFormat="1" ht="11.25" hidden="1">
      <c r="C512" s="1050"/>
      <c r="D512" s="172" t="str">
        <f>IF(Indice_index!$Z$1=1,"março","March")</f>
        <v>março</v>
      </c>
      <c r="E512" s="1127">
        <v>-49.7</v>
      </c>
      <c r="F512" s="1127">
        <v>4.2</v>
      </c>
      <c r="G512" s="1127">
        <v>35.6</v>
      </c>
      <c r="H512" s="1127">
        <v>-8.1999999999999993</v>
      </c>
      <c r="I512" s="1127">
        <v>17.5</v>
      </c>
      <c r="J512" s="1127">
        <v>-48</v>
      </c>
      <c r="K512" s="1127">
        <v>-2</v>
      </c>
      <c r="L512" s="1127">
        <v>32.299999999999997</v>
      </c>
      <c r="M512" s="1127">
        <v>-20</v>
      </c>
      <c r="N512" s="1127">
        <v>16.3</v>
      </c>
      <c r="O512" s="1127">
        <v>2.1</v>
      </c>
      <c r="P512" s="1127">
        <v>-2.4</v>
      </c>
      <c r="R512" s="229"/>
      <c r="S512" s="229"/>
      <c r="T512" s="229"/>
      <c r="U512" s="229"/>
      <c r="V512" s="229"/>
      <c r="W512" s="229"/>
      <c r="X512" s="229"/>
      <c r="Y512" s="229"/>
      <c r="Z512" s="229"/>
      <c r="AA512" s="229"/>
      <c r="AB512" s="229"/>
      <c r="AC512" s="229"/>
    </row>
    <row r="513" spans="3:29" ht="11.25" hidden="1">
      <c r="C513" s="1050"/>
      <c r="D513" s="172" t="str">
        <f>IF(Indice_index!$Z$1=1,"abril","April")</f>
        <v>abril</v>
      </c>
      <c r="E513" s="1127">
        <v>-32</v>
      </c>
      <c r="F513" s="1127">
        <v>8.3000000000000007</v>
      </c>
      <c r="G513" s="1127">
        <v>1.2</v>
      </c>
      <c r="H513" s="1127">
        <v>-13.3</v>
      </c>
      <c r="I513" s="1127">
        <v>5.5</v>
      </c>
      <c r="J513" s="1127">
        <v>-8.5</v>
      </c>
      <c r="K513" s="1127">
        <v>-1.7</v>
      </c>
      <c r="L513" s="1127">
        <v>3</v>
      </c>
      <c r="M513" s="1127">
        <v>-3.9</v>
      </c>
      <c r="N513" s="1127">
        <v>2.1</v>
      </c>
      <c r="O513" s="1127">
        <v>24.9</v>
      </c>
      <c r="P513" s="1127">
        <v>1.7</v>
      </c>
      <c r="X513" s="229"/>
      <c r="Y513" s="229"/>
      <c r="Z513" s="229"/>
      <c r="AA513" s="229"/>
    </row>
    <row r="514" spans="3:29" ht="11.25" hidden="1">
      <c r="C514" s="1050"/>
      <c r="D514" s="172" t="str">
        <f>IF(Indice_index!$Z$1=1,"maio","May")</f>
        <v>maio</v>
      </c>
      <c r="E514" s="1127">
        <v>45.7</v>
      </c>
      <c r="F514" s="1127">
        <v>7.9</v>
      </c>
      <c r="G514" s="1127">
        <v>-5.7</v>
      </c>
      <c r="H514" s="1127">
        <v>15.8</v>
      </c>
      <c r="I514" s="1127">
        <v>-15.6</v>
      </c>
      <c r="J514" s="1127">
        <v>151.80000000000001</v>
      </c>
      <c r="K514" s="1127">
        <v>8.6</v>
      </c>
      <c r="L514" s="1127">
        <v>-1</v>
      </c>
      <c r="M514" s="1127">
        <v>74.2</v>
      </c>
      <c r="N514" s="1127">
        <v>-17.3</v>
      </c>
      <c r="O514" s="1127">
        <v>58.4</v>
      </c>
      <c r="P514" s="1127">
        <v>4.9000000000000004</v>
      </c>
      <c r="X514" s="229"/>
      <c r="Y514" s="229"/>
      <c r="Z514" s="229"/>
      <c r="AA514" s="229"/>
    </row>
    <row r="515" spans="3:29" ht="11.25" hidden="1">
      <c r="C515" s="1050"/>
      <c r="D515" s="172" t="str">
        <f>IF(Indice_index!$Z$1=1,"junho","June")</f>
        <v>junho</v>
      </c>
      <c r="E515" s="1127">
        <v>73.900000000000006</v>
      </c>
      <c r="F515" s="1127">
        <v>-6</v>
      </c>
      <c r="G515" s="1127">
        <v>-8.6</v>
      </c>
      <c r="H515" s="1127">
        <v>21.6</v>
      </c>
      <c r="I515" s="1127">
        <v>-3.2</v>
      </c>
      <c r="J515" s="1127">
        <v>153.9</v>
      </c>
      <c r="K515" s="1127">
        <v>19</v>
      </c>
      <c r="L515" s="1127">
        <v>-6.8</v>
      </c>
      <c r="M515" s="1127">
        <v>66.900000000000006</v>
      </c>
      <c r="N515" s="1127">
        <v>-0.3</v>
      </c>
      <c r="O515" s="1127">
        <v>41.3</v>
      </c>
      <c r="P515" s="1127">
        <v>2</v>
      </c>
      <c r="X515" s="229"/>
      <c r="Y515" s="229"/>
      <c r="Z515" s="229"/>
      <c r="AA515" s="229"/>
    </row>
    <row r="516" spans="3:29" ht="11.25" hidden="1">
      <c r="C516" s="1050"/>
      <c r="D516" s="172" t="str">
        <f>IF(Indice_index!$Z$1=1,"julho","July")</f>
        <v>julho</v>
      </c>
      <c r="E516" s="1127">
        <v>183.6</v>
      </c>
      <c r="F516" s="1127">
        <v>-3.5</v>
      </c>
      <c r="G516" s="1127">
        <v>-12</v>
      </c>
      <c r="H516" s="1127">
        <v>63.1</v>
      </c>
      <c r="I516" s="1127">
        <v>3.2</v>
      </c>
      <c r="J516" s="1127">
        <v>275.2</v>
      </c>
      <c r="K516" s="1127">
        <v>-0.9</v>
      </c>
      <c r="L516" s="1127">
        <v>-4.5</v>
      </c>
      <c r="M516" s="1127">
        <v>126.4</v>
      </c>
      <c r="N516" s="1127">
        <v>0.3</v>
      </c>
      <c r="O516" s="1127">
        <v>27</v>
      </c>
      <c r="P516" s="1127">
        <v>8.5</v>
      </c>
      <c r="X516" s="229"/>
      <c r="Y516" s="229"/>
      <c r="Z516" s="229"/>
      <c r="AA516" s="229"/>
    </row>
    <row r="517" spans="3:29" ht="11.25" hidden="1">
      <c r="C517" s="1050"/>
      <c r="D517" s="172" t="str">
        <f>IF(Indice_index!$Z$1=1,"agosto","August")</f>
        <v>agosto</v>
      </c>
      <c r="E517" s="1127">
        <v>153.9</v>
      </c>
      <c r="F517" s="1127">
        <v>-32.299999999999997</v>
      </c>
      <c r="G517" s="1127">
        <v>1.4</v>
      </c>
      <c r="H517" s="1127">
        <v>59.2</v>
      </c>
      <c r="I517" s="1127">
        <v>9.1999999999999993</v>
      </c>
      <c r="J517" s="1127">
        <v>201.8</v>
      </c>
      <c r="K517" s="1127">
        <v>-24.7</v>
      </c>
      <c r="L517" s="1127">
        <v>9.9</v>
      </c>
      <c r="M517" s="1127">
        <v>99.5</v>
      </c>
      <c r="N517" s="1127">
        <v>-7.5</v>
      </c>
      <c r="O517" s="1127">
        <v>15.3</v>
      </c>
      <c r="P517" s="1127">
        <v>8.3000000000000007</v>
      </c>
      <c r="X517" s="229"/>
      <c r="Y517" s="229"/>
      <c r="Z517" s="229"/>
      <c r="AA517" s="229"/>
    </row>
    <row r="518" spans="3:29" s="171" customFormat="1" ht="11.25" hidden="1">
      <c r="C518" s="1050"/>
      <c r="D518" s="172" t="str">
        <f>IF(Indice_index!$Z$1=1,"setembro","September")</f>
        <v>setembro</v>
      </c>
      <c r="E518" s="1127">
        <v>66.7</v>
      </c>
      <c r="F518" s="1127">
        <v>-8.6</v>
      </c>
      <c r="G518" s="1127">
        <v>0.2</v>
      </c>
      <c r="H518" s="1127">
        <v>25.5</v>
      </c>
      <c r="I518" s="1127">
        <v>-4.2</v>
      </c>
      <c r="J518" s="1127">
        <v>136.30000000000001</v>
      </c>
      <c r="K518" s="1127">
        <v>-0.9</v>
      </c>
      <c r="L518" s="1127">
        <v>-4.7</v>
      </c>
      <c r="M518" s="1127">
        <v>70.3</v>
      </c>
      <c r="N518" s="1127">
        <v>-2.6</v>
      </c>
      <c r="O518" s="1127">
        <v>38.200000000000003</v>
      </c>
      <c r="P518" s="1127">
        <v>-4.8</v>
      </c>
      <c r="R518" s="229"/>
      <c r="S518" s="229"/>
      <c r="T518" s="229"/>
      <c r="U518" s="229"/>
      <c r="V518" s="229"/>
      <c r="W518" s="229"/>
      <c r="X518" s="229"/>
      <c r="Y518" s="229"/>
      <c r="Z518" s="229"/>
      <c r="AA518" s="229"/>
      <c r="AB518" s="229"/>
      <c r="AC518" s="229"/>
    </row>
    <row r="519" spans="3:29" s="171" customFormat="1" ht="11.25" hidden="1">
      <c r="C519" s="1050"/>
      <c r="D519" s="172" t="str">
        <f>IF(Indice_index!$Z$1=1,"outubro","October")</f>
        <v>outubro</v>
      </c>
      <c r="E519" s="1127">
        <v>93.3</v>
      </c>
      <c r="F519" s="1127">
        <v>-54.1</v>
      </c>
      <c r="G519" s="1127">
        <v>718.7</v>
      </c>
      <c r="H519" s="1127">
        <v>339.5</v>
      </c>
      <c r="I519" s="1127">
        <v>-6.3</v>
      </c>
      <c r="J519" s="1127">
        <v>164.7</v>
      </c>
      <c r="K519" s="1127">
        <v>-41.9</v>
      </c>
      <c r="L519" s="1127">
        <v>260.2</v>
      </c>
      <c r="M519" s="1127">
        <v>158.6</v>
      </c>
      <c r="N519" s="1127">
        <v>-3.3</v>
      </c>
      <c r="O519" s="1127">
        <v>35.5</v>
      </c>
      <c r="P519" s="1127">
        <v>-56</v>
      </c>
      <c r="R519" s="229"/>
      <c r="S519" s="229"/>
      <c r="T519" s="229"/>
      <c r="U519" s="229"/>
      <c r="V519" s="229"/>
      <c r="W519" s="229"/>
      <c r="X519" s="229"/>
      <c r="Y519" s="229"/>
      <c r="Z519" s="229"/>
      <c r="AA519" s="229"/>
      <c r="AB519" s="229"/>
      <c r="AC519" s="229"/>
    </row>
    <row r="520" spans="3:29" s="171" customFormat="1" ht="11.25" hidden="1">
      <c r="C520" s="1050"/>
      <c r="D520" s="172" t="str">
        <f>IF(Indice_index!$Z$1=1,"novembro","November")</f>
        <v>novembro</v>
      </c>
      <c r="E520" s="1127">
        <v>157.80000000000001</v>
      </c>
      <c r="F520" s="1127">
        <v>101.3</v>
      </c>
      <c r="G520" s="1127">
        <v>-7.4</v>
      </c>
      <c r="H520" s="1127">
        <v>56.3</v>
      </c>
      <c r="I520" s="1127">
        <v>3.5</v>
      </c>
      <c r="J520" s="1127">
        <v>362.3</v>
      </c>
      <c r="K520" s="1127">
        <v>113.8</v>
      </c>
      <c r="L520" s="1127">
        <v>-7.5</v>
      </c>
      <c r="M520" s="1127">
        <v>176</v>
      </c>
      <c r="N520" s="1127">
        <v>16.5</v>
      </c>
      <c r="O520" s="1127">
        <v>70.400000000000006</v>
      </c>
      <c r="P520" s="1127">
        <v>-0.2</v>
      </c>
      <c r="R520" s="229"/>
      <c r="S520" s="229"/>
      <c r="T520" s="229"/>
      <c r="U520" s="229"/>
      <c r="V520" s="229"/>
      <c r="W520" s="229"/>
      <c r="X520" s="229"/>
      <c r="Y520" s="229"/>
      <c r="Z520" s="229"/>
      <c r="AA520" s="229"/>
      <c r="AB520" s="229"/>
      <c r="AC520" s="229"/>
    </row>
    <row r="521" spans="3:29" s="171" customFormat="1" ht="11.25" hidden="1">
      <c r="C521" s="1050"/>
      <c r="D521" s="172" t="str">
        <f>IF(Indice_index!$Z$1=1,"dezembro","December")</f>
        <v>dezembro</v>
      </c>
      <c r="E521" s="1127">
        <v>10.1</v>
      </c>
      <c r="F521" s="1127">
        <v>5.0999999999999996</v>
      </c>
      <c r="G521" s="1127">
        <v>30.9</v>
      </c>
      <c r="H521" s="1127">
        <v>18.8</v>
      </c>
      <c r="I521" s="1127">
        <v>7</v>
      </c>
      <c r="J521" s="1127">
        <v>25.3</v>
      </c>
      <c r="K521" s="1127">
        <v>-2.6</v>
      </c>
      <c r="L521" s="1127">
        <v>39.200000000000003</v>
      </c>
      <c r="M521" s="1127">
        <v>25.4</v>
      </c>
      <c r="N521" s="1127">
        <v>4.7</v>
      </c>
      <c r="O521" s="1127">
        <v>9.9</v>
      </c>
      <c r="P521" s="1127">
        <v>6.3</v>
      </c>
      <c r="R521" s="229"/>
      <c r="S521" s="229"/>
      <c r="T521" s="229"/>
      <c r="U521" s="229"/>
      <c r="V521" s="229"/>
      <c r="W521" s="229"/>
      <c r="X521" s="229"/>
      <c r="Y521" s="229"/>
      <c r="Z521" s="229"/>
      <c r="AA521" s="229"/>
      <c r="AB521" s="229"/>
      <c r="AC521" s="229"/>
    </row>
    <row r="522" spans="3:29" ht="15" hidden="1" customHeight="1">
      <c r="C522" s="1130">
        <v>2018</v>
      </c>
      <c r="D522" s="171"/>
      <c r="E522" s="1127"/>
      <c r="F522" s="1127"/>
      <c r="G522" s="1127"/>
      <c r="H522" s="1127"/>
      <c r="I522" s="1127"/>
      <c r="J522" s="1127"/>
      <c r="K522" s="1127"/>
      <c r="L522" s="1127"/>
      <c r="N522" s="1127"/>
      <c r="O522" s="1127"/>
      <c r="P522" s="1127"/>
    </row>
    <row r="523" spans="3:29" s="171" customFormat="1" ht="15" hidden="1" customHeight="1">
      <c r="C523" s="1050"/>
      <c r="D523" s="172" t="str">
        <f>IF(Indice_index!$Z$1=1,"janeiro","January")</f>
        <v>janeiro</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050"/>
      <c r="D524" s="172" t="str">
        <f>IF(Indice_index!$Z$1=1,"fevereiro","February")</f>
        <v>fevereiro</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050"/>
      <c r="D525" s="172" t="str">
        <f>IF(Indice_index!$Z$1=1,"março","March")</f>
        <v>março</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050"/>
      <c r="D526" s="172" t="str">
        <f>IF(Indice_index!$Z$1=1,"abril","April")</f>
        <v>abril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050"/>
      <c r="D527" s="172" t="str">
        <f>IF(Indice_index!$Z$1=1,"maio","May")</f>
        <v>maio</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050"/>
      <c r="D528" s="172" t="str">
        <f>IF(Indice_index!$Z$1=1,"junho","June")</f>
        <v>junho</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050"/>
      <c r="D529" s="172" t="str">
        <f>IF(Indice_index!$Z$1=1,"julho","July")</f>
        <v>julho</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050"/>
      <c r="D530" s="172" t="str">
        <f>IF(Indice_index!$Z$1=1,"agosto","August")</f>
        <v>agosto</v>
      </c>
      <c r="E530" s="1127">
        <v>-36.700000000000003</v>
      </c>
      <c r="F530" s="1127">
        <v>-12.4</v>
      </c>
      <c r="G530" s="1127">
        <v>1.6</v>
      </c>
      <c r="H530" s="1127">
        <v>-24.2</v>
      </c>
      <c r="I530" s="1127">
        <v>-4.7</v>
      </c>
      <c r="J530" s="1127">
        <v>-15.9</v>
      </c>
      <c r="K530" s="1127">
        <v>-1.5</v>
      </c>
      <c r="L530" s="1127">
        <v>-0.1</v>
      </c>
      <c r="M530" s="1127">
        <v>-12.2</v>
      </c>
      <c r="N530" s="1127">
        <v>9</v>
      </c>
      <c r="O530" s="1127">
        <v>30.7</v>
      </c>
      <c r="P530" s="1127">
        <v>-1.6</v>
      </c>
      <c r="R530" s="230"/>
      <c r="S530" s="230"/>
      <c r="T530" s="230"/>
      <c r="U530" s="230"/>
      <c r="V530" s="230"/>
      <c r="W530" s="230"/>
      <c r="X530" s="230"/>
      <c r="Y530" s="230"/>
      <c r="Z530" s="230"/>
      <c r="AA530" s="230"/>
      <c r="AB530" s="230"/>
      <c r="AC530" s="230"/>
    </row>
    <row r="531" spans="3:29" s="171" customFormat="1" ht="15" hidden="1" customHeight="1">
      <c r="C531" s="1050"/>
      <c r="D531" s="172" t="str">
        <f>IF(Indice_index!$Z$1=1,"setembro","September")</f>
        <v>setembro</v>
      </c>
      <c r="E531" s="1127">
        <v>-4</v>
      </c>
      <c r="F531" s="1127">
        <v>-22.8</v>
      </c>
      <c r="G531" s="1127">
        <v>-2</v>
      </c>
      <c r="H531" s="1127">
        <v>-5.2</v>
      </c>
      <c r="I531" s="1127">
        <v>8.1</v>
      </c>
      <c r="J531" s="1127">
        <v>-12.1</v>
      </c>
      <c r="K531" s="1127">
        <v>-27.4</v>
      </c>
      <c r="L531" s="1127">
        <v>2.9</v>
      </c>
      <c r="M531" s="1127">
        <v>-11</v>
      </c>
      <c r="N531" s="1127">
        <v>11</v>
      </c>
      <c r="O531" s="1127">
        <v>-7.4</v>
      </c>
      <c r="P531" s="1127">
        <v>5</v>
      </c>
      <c r="R531" s="230"/>
      <c r="S531" s="230"/>
      <c r="T531" s="230"/>
      <c r="U531" s="230"/>
      <c r="V531" s="230"/>
      <c r="W531" s="230"/>
      <c r="X531" s="230"/>
      <c r="Y531" s="230"/>
      <c r="Z531" s="230"/>
      <c r="AA531" s="230"/>
      <c r="AB531" s="230"/>
      <c r="AC531" s="230"/>
    </row>
    <row r="532" spans="3:29" s="171" customFormat="1" ht="15" hidden="1" customHeight="1">
      <c r="C532" s="1050"/>
      <c r="D532" s="172" t="str">
        <f>IF(Indice_index!$Z$1=1,"outubro","October")</f>
        <v>outubro</v>
      </c>
      <c r="E532" s="1127">
        <v>-41.1</v>
      </c>
      <c r="F532" s="1127">
        <v>34.299999999999997</v>
      </c>
      <c r="G532" s="1127">
        <v>-86.3</v>
      </c>
      <c r="H532" s="1127">
        <v>-75.8</v>
      </c>
      <c r="I532" s="1127">
        <v>16.7</v>
      </c>
      <c r="J532" s="1127">
        <v>-33.1</v>
      </c>
      <c r="K532" s="1127">
        <v>35.4</v>
      </c>
      <c r="L532" s="1127">
        <v>-66.5</v>
      </c>
      <c r="M532" s="1127">
        <v>-43.8</v>
      </c>
      <c r="N532" s="1127">
        <v>20.8</v>
      </c>
      <c r="O532" s="1127">
        <v>11.8</v>
      </c>
      <c r="P532" s="1127">
        <v>145.30000000000001</v>
      </c>
      <c r="R532" s="230"/>
      <c r="S532" s="230"/>
      <c r="T532" s="230"/>
      <c r="U532" s="230"/>
      <c r="V532" s="230"/>
      <c r="W532" s="230"/>
      <c r="X532" s="230"/>
      <c r="Y532" s="230"/>
      <c r="Z532" s="230"/>
      <c r="AA532" s="230"/>
      <c r="AB532" s="230"/>
      <c r="AC532" s="230"/>
    </row>
    <row r="533" spans="3:29" s="171" customFormat="1" ht="15" hidden="1" customHeight="1">
      <c r="C533" s="1050"/>
      <c r="D533" s="172" t="str">
        <f>IF(Indice_index!$Z$1=1,"novembro","November")</f>
        <v>novembro</v>
      </c>
      <c r="E533" s="1127">
        <v>-37.799999999999997</v>
      </c>
      <c r="F533" s="1127">
        <v>-16.8</v>
      </c>
      <c r="G533" s="1127">
        <v>28.3</v>
      </c>
      <c r="H533" s="1127">
        <v>-12.9</v>
      </c>
      <c r="I533" s="1127">
        <v>0</v>
      </c>
      <c r="J533" s="1127">
        <v>-51.6</v>
      </c>
      <c r="K533" s="1127">
        <v>-1</v>
      </c>
      <c r="L533" s="1127">
        <v>46.7</v>
      </c>
      <c r="M533" s="1127">
        <v>-33.6</v>
      </c>
      <c r="N533" s="1127">
        <v>1.3</v>
      </c>
      <c r="O533" s="1127">
        <v>-19.3</v>
      </c>
      <c r="P533" s="1127">
        <v>14.3</v>
      </c>
      <c r="R533" s="230"/>
      <c r="S533" s="230"/>
      <c r="T533" s="230"/>
      <c r="U533" s="230"/>
      <c r="V533" s="230"/>
      <c r="W533" s="230"/>
      <c r="X533" s="230"/>
      <c r="Y533" s="230"/>
      <c r="Z533" s="230"/>
      <c r="AA533" s="230"/>
      <c r="AB533" s="230"/>
      <c r="AC533" s="230"/>
    </row>
    <row r="534" spans="3:29" s="171" customFormat="1" ht="15" hidden="1" customHeight="1">
      <c r="C534" s="1050"/>
      <c r="D534" s="172" t="str">
        <f>IF(Indice_index!$Z$1=1,"dezembro","December")</f>
        <v>dezembro</v>
      </c>
      <c r="E534" s="1127">
        <v>25.5</v>
      </c>
      <c r="F534" s="1127">
        <v>18.5</v>
      </c>
      <c r="G534" s="1127">
        <v>-2.5</v>
      </c>
      <c r="H534" s="1127">
        <v>11</v>
      </c>
      <c r="I534" s="1127">
        <v>-6.5</v>
      </c>
      <c r="J534" s="1127">
        <v>63</v>
      </c>
      <c r="K534" s="1127">
        <v>51.5</v>
      </c>
      <c r="L534" s="1127">
        <v>5.5</v>
      </c>
      <c r="M534" s="1127">
        <v>43.3</v>
      </c>
      <c r="N534" s="1127">
        <v>-3.6</v>
      </c>
      <c r="O534" s="1127">
        <v>37.5</v>
      </c>
      <c r="P534" s="1127">
        <v>8.1</v>
      </c>
      <c r="R534" s="230"/>
      <c r="S534" s="230"/>
      <c r="T534" s="230"/>
      <c r="U534" s="230"/>
      <c r="V534" s="230"/>
      <c r="W534" s="230"/>
      <c r="X534" s="230"/>
      <c r="Y534" s="230"/>
      <c r="Z534" s="230"/>
      <c r="AA534" s="230"/>
      <c r="AB534" s="230"/>
      <c r="AC534" s="230"/>
    </row>
    <row r="535" spans="3:29" ht="15" customHeight="1">
      <c r="C535" s="1130">
        <v>2019</v>
      </c>
      <c r="D535" s="171"/>
      <c r="E535" s="1127"/>
      <c r="F535" s="1127"/>
      <c r="G535" s="1127"/>
      <c r="H535" s="1127"/>
      <c r="I535" s="1127"/>
      <c r="J535" s="1127"/>
      <c r="K535" s="1127"/>
      <c r="L535" s="1127"/>
      <c r="N535" s="1127"/>
      <c r="O535" s="1127"/>
      <c r="P535" s="1127"/>
      <c r="R535" s="230"/>
      <c r="S535" s="230"/>
      <c r="T535" s="230"/>
      <c r="U535" s="230"/>
      <c r="V535" s="230"/>
      <c r="W535" s="230"/>
      <c r="X535" s="230"/>
      <c r="Y535" s="230"/>
      <c r="Z535" s="230"/>
      <c r="AA535" s="230"/>
      <c r="AB535" s="230"/>
      <c r="AC535" s="230"/>
    </row>
    <row r="536" spans="3:29" s="171" customFormat="1" ht="15" customHeight="1">
      <c r="C536" s="1050"/>
      <c r="D536" s="172" t="str">
        <f>IF(Indice_index!$Z$1=1,"janeiro","January")</f>
        <v>janeiro</v>
      </c>
      <c r="E536" s="1181">
        <v>13.6</v>
      </c>
      <c r="F536" s="1181">
        <v>40</v>
      </c>
      <c r="G536" s="1181">
        <v>36.4</v>
      </c>
      <c r="H536" s="1181">
        <v>25.2</v>
      </c>
      <c r="I536" s="1181">
        <v>3.7</v>
      </c>
      <c r="J536" s="1181">
        <v>67.8</v>
      </c>
      <c r="K536" s="1181">
        <v>44.8</v>
      </c>
      <c r="L536" s="1181">
        <v>36.6</v>
      </c>
      <c r="M536" s="1181">
        <v>56.7</v>
      </c>
      <c r="N536" s="1181">
        <v>0</v>
      </c>
      <c r="O536" s="1181">
        <v>39.700000000000003</v>
      </c>
      <c r="P536" s="1181">
        <v>0.1</v>
      </c>
      <c r="R536" s="230"/>
      <c r="S536" s="230"/>
      <c r="T536" s="230"/>
      <c r="U536" s="230"/>
      <c r="V536" s="230"/>
      <c r="W536" s="230"/>
      <c r="X536" s="230"/>
      <c r="Y536" s="230"/>
      <c r="Z536" s="230"/>
      <c r="AA536" s="230"/>
      <c r="AB536" s="230"/>
      <c r="AC536" s="230"/>
    </row>
    <row r="537" spans="3:29" s="171" customFormat="1" ht="15" customHeight="1">
      <c r="C537" s="1050"/>
      <c r="D537" s="172" t="str">
        <f>IF(Indice_index!$Z$1=1,"fevereiro","February")</f>
        <v>fevereiro</v>
      </c>
      <c r="E537" s="1181">
        <v>-7.5</v>
      </c>
      <c r="F537" s="1181">
        <v>102.4</v>
      </c>
      <c r="G537" s="1181">
        <v>32.799999999999997</v>
      </c>
      <c r="H537" s="1181">
        <v>16.8</v>
      </c>
      <c r="I537" s="1181">
        <v>-8.3000000000000007</v>
      </c>
      <c r="J537" s="1181">
        <v>-17.600000000000001</v>
      </c>
      <c r="K537" s="1181">
        <v>100.1</v>
      </c>
      <c r="L537" s="1181">
        <v>40.700000000000003</v>
      </c>
      <c r="M537" s="1181">
        <v>4.4000000000000004</v>
      </c>
      <c r="N537" s="1181">
        <v>-3.3</v>
      </c>
      <c r="O537" s="1181">
        <v>-10.8</v>
      </c>
      <c r="P537" s="1181">
        <v>6</v>
      </c>
      <c r="R537" s="230"/>
      <c r="S537" s="230"/>
      <c r="T537" s="230"/>
      <c r="U537" s="230"/>
      <c r="V537" s="230"/>
      <c r="W537" s="230"/>
      <c r="X537" s="230"/>
      <c r="Y537" s="230"/>
      <c r="Z537" s="230"/>
      <c r="AA537" s="230"/>
      <c r="AB537" s="230"/>
      <c r="AC537" s="230"/>
    </row>
    <row r="538" spans="3:29" s="171" customFormat="1" ht="15" customHeight="1">
      <c r="C538" s="1050"/>
      <c r="D538" s="172" t="str">
        <f>IF(Indice_index!$Z$1=1,"março","March")</f>
        <v>março</v>
      </c>
      <c r="E538" s="1181">
        <v>-23.2</v>
      </c>
      <c r="F538" s="1181">
        <v>50.6</v>
      </c>
      <c r="G538" s="1181">
        <v>49.4</v>
      </c>
      <c r="H538" s="1181">
        <v>15.9</v>
      </c>
      <c r="I538" s="1181">
        <v>15.2</v>
      </c>
      <c r="J538" s="1181">
        <v>-21</v>
      </c>
      <c r="K538" s="1181">
        <v>70.3</v>
      </c>
      <c r="L538" s="1181">
        <v>47.7</v>
      </c>
      <c r="M538" s="1181">
        <v>5.9</v>
      </c>
      <c r="N538" s="1181">
        <v>16.600000000000001</v>
      </c>
      <c r="O538" s="1181">
        <v>1.3</v>
      </c>
      <c r="P538" s="1181">
        <v>-1.2</v>
      </c>
      <c r="R538" s="230"/>
      <c r="S538" s="230"/>
      <c r="T538" s="230"/>
      <c r="U538" s="230"/>
      <c r="V538" s="230"/>
      <c r="W538" s="230"/>
      <c r="X538" s="230"/>
      <c r="Y538" s="230"/>
      <c r="Z538" s="230"/>
      <c r="AA538" s="230"/>
      <c r="AB538" s="230"/>
      <c r="AC538" s="230"/>
    </row>
    <row r="539" spans="3:29" ht="15" customHeight="1">
      <c r="C539" s="1050"/>
      <c r="D539" s="172" t="str">
        <f>IF(Indice_index!$Z$1=1,"abril","April")</f>
        <v>abril</v>
      </c>
      <c r="E539" s="1181">
        <v>60.9</v>
      </c>
      <c r="F539" s="1181">
        <v>159.5</v>
      </c>
      <c r="G539" s="1181">
        <v>10.4</v>
      </c>
      <c r="H539" s="1181">
        <v>46</v>
      </c>
      <c r="I539" s="1181">
        <v>-17.8</v>
      </c>
      <c r="J539" s="1181">
        <v>48.1</v>
      </c>
      <c r="K539" s="1181">
        <v>170.3</v>
      </c>
      <c r="L539" s="1181">
        <v>22.5</v>
      </c>
      <c r="M539" s="1181">
        <v>53.6</v>
      </c>
      <c r="N539" s="1181">
        <v>-18.2</v>
      </c>
      <c r="O539" s="1181">
        <v>-6.9</v>
      </c>
      <c r="P539" s="1181">
        <v>11</v>
      </c>
      <c r="R539" s="230"/>
      <c r="S539" s="230"/>
      <c r="T539" s="230"/>
      <c r="U539" s="230"/>
      <c r="V539" s="230"/>
      <c r="W539" s="230"/>
      <c r="X539" s="230"/>
      <c r="Y539" s="230"/>
      <c r="Z539" s="230"/>
      <c r="AA539" s="230"/>
      <c r="AB539" s="230"/>
      <c r="AC539" s="230"/>
    </row>
    <row r="540" spans="3:29" ht="15" customHeight="1">
      <c r="C540" s="1050"/>
      <c r="D540" s="172" t="str">
        <f>IF(Indice_index!$Z$1=1,"maio","May")</f>
        <v>maio</v>
      </c>
      <c r="E540" s="1181">
        <v>17.5</v>
      </c>
      <c r="F540" s="1181">
        <v>78.099999999999994</v>
      </c>
      <c r="G540" s="1181">
        <v>35.299999999999997</v>
      </c>
      <c r="H540" s="1181">
        <v>28.9</v>
      </c>
      <c r="I540" s="1181">
        <v>9</v>
      </c>
      <c r="J540" s="1181">
        <v>13.7</v>
      </c>
      <c r="K540" s="1181">
        <v>78.8</v>
      </c>
      <c r="L540" s="1181">
        <v>24.7</v>
      </c>
      <c r="M540" s="1181">
        <v>20.7</v>
      </c>
      <c r="N540" s="1181">
        <v>65.599999999999994</v>
      </c>
      <c r="O540" s="1181">
        <v>-4.3</v>
      </c>
      <c r="P540" s="1181">
        <v>-7.9</v>
      </c>
      <c r="R540" s="230"/>
      <c r="S540" s="230"/>
      <c r="T540" s="230"/>
      <c r="U540" s="230"/>
      <c r="V540" s="230"/>
      <c r="W540" s="230"/>
      <c r="X540" s="230"/>
      <c r="Y540" s="230"/>
      <c r="Z540" s="230"/>
      <c r="AA540" s="230"/>
      <c r="AB540" s="230"/>
      <c r="AC540" s="230"/>
    </row>
    <row r="541" spans="3:29" ht="15" customHeight="1">
      <c r="C541" s="1050"/>
      <c r="D541" s="172" t="str">
        <f>IF(Indice_index!$Z$1=1,"junho","June")</f>
        <v>junho</v>
      </c>
      <c r="E541" s="1181">
        <v>31.4</v>
      </c>
      <c r="F541" s="1181">
        <v>111.5</v>
      </c>
      <c r="G541" s="1181">
        <v>61.8</v>
      </c>
      <c r="H541" s="1181">
        <v>50.9</v>
      </c>
      <c r="I541" s="1181">
        <v>5.6</v>
      </c>
      <c r="J541" s="1181">
        <v>7.5</v>
      </c>
      <c r="K541" s="1181">
        <v>181.9</v>
      </c>
      <c r="L541" s="1181">
        <v>51.8</v>
      </c>
      <c r="M541" s="1181">
        <v>30.3</v>
      </c>
      <c r="N541" s="1181">
        <v>8</v>
      </c>
      <c r="O541" s="1181">
        <v>-13.2</v>
      </c>
      <c r="P541" s="1181">
        <v>-6.1</v>
      </c>
      <c r="R541" s="230"/>
      <c r="S541" s="230"/>
      <c r="T541" s="230"/>
      <c r="U541" s="230"/>
      <c r="V541" s="230"/>
      <c r="W541" s="230"/>
      <c r="X541" s="230"/>
      <c r="Y541" s="230"/>
      <c r="Z541" s="230"/>
      <c r="AA541" s="230"/>
      <c r="AB541" s="230"/>
      <c r="AC541" s="230"/>
    </row>
    <row r="542" spans="3:29" ht="15" customHeight="1">
      <c r="C542" s="1050"/>
      <c r="D542" s="172" t="str">
        <f>IF(Indice_index!$Z$1=1,"julho","July")</f>
        <v>julho</v>
      </c>
      <c r="E542" s="1181">
        <v>46.2</v>
      </c>
      <c r="F542" s="1181">
        <v>27.1</v>
      </c>
      <c r="G542" s="1181">
        <v>6.6</v>
      </c>
      <c r="H542" s="1181">
        <v>26.3</v>
      </c>
      <c r="I542" s="1181">
        <v>-6.9</v>
      </c>
      <c r="J542" s="1181">
        <v>46.9</v>
      </c>
      <c r="K542" s="1181">
        <v>57.7</v>
      </c>
      <c r="L542" s="1181">
        <v>11.8</v>
      </c>
      <c r="M542" s="1181">
        <v>38.6</v>
      </c>
      <c r="N542" s="1181">
        <v>-12.3</v>
      </c>
      <c r="O542" s="1181">
        <v>3.5</v>
      </c>
      <c r="P542" s="1181">
        <v>4.9000000000000004</v>
      </c>
      <c r="R542" s="230"/>
      <c r="S542" s="230"/>
      <c r="T542" s="230"/>
      <c r="U542" s="230"/>
      <c r="V542" s="230"/>
      <c r="W542" s="230"/>
      <c r="X542" s="230"/>
      <c r="Y542" s="230"/>
      <c r="Z542" s="230"/>
      <c r="AA542" s="230"/>
      <c r="AB542" s="230"/>
      <c r="AC542" s="230"/>
    </row>
    <row r="543" spans="3:29" ht="15" customHeight="1">
      <c r="C543" s="1050"/>
      <c r="D543" s="172" t="str">
        <f>IF(Indice_index!$Z$1=1,"agosto","August")</f>
        <v>agosto</v>
      </c>
      <c r="E543" s="1181">
        <v>20.399999999999999</v>
      </c>
      <c r="F543" s="1181">
        <v>58.6</v>
      </c>
      <c r="G543" s="1181">
        <v>48.1</v>
      </c>
      <c r="H543" s="1181">
        <v>33.700000000000003</v>
      </c>
      <c r="I543" s="1181">
        <v>11.9</v>
      </c>
      <c r="J543" s="1181">
        <v>-6</v>
      </c>
      <c r="K543" s="1181">
        <v>28.9</v>
      </c>
      <c r="L543" s="1181">
        <v>41</v>
      </c>
      <c r="M543" s="1181">
        <v>5.8</v>
      </c>
      <c r="N543" s="1181">
        <v>13.3</v>
      </c>
      <c r="O543" s="1181">
        <v>-21.8</v>
      </c>
      <c r="P543" s="1181">
        <v>-4.8</v>
      </c>
      <c r="X543" s="229"/>
      <c r="Y543" s="229"/>
      <c r="Z543" s="229"/>
      <c r="AA543" s="229"/>
    </row>
    <row r="544" spans="3:29" s="171" customFormat="1" ht="15" customHeight="1">
      <c r="C544" s="1050"/>
      <c r="D544" s="172" t="str">
        <f>IF(Indice_index!$Z$1=1,"setembro","September")</f>
        <v>setembro</v>
      </c>
      <c r="E544" s="1181">
        <v>13.4</v>
      </c>
      <c r="F544" s="1181">
        <v>35.299999999999997</v>
      </c>
      <c r="G544" s="1181">
        <v>45</v>
      </c>
      <c r="H544" s="1181">
        <v>27.2</v>
      </c>
      <c r="I544" s="1181">
        <v>-4.3</v>
      </c>
      <c r="J544" s="1181">
        <v>-3.8</v>
      </c>
      <c r="K544" s="1181">
        <v>57.4</v>
      </c>
      <c r="L544" s="1181">
        <v>19.2</v>
      </c>
      <c r="M544" s="1181">
        <v>5.6</v>
      </c>
      <c r="N544" s="1181">
        <v>-2.4</v>
      </c>
      <c r="O544" s="1181">
        <v>-12.1</v>
      </c>
      <c r="P544" s="1181">
        <v>-17.8</v>
      </c>
      <c r="R544" s="229"/>
      <c r="S544" s="229"/>
      <c r="T544" s="229"/>
      <c r="U544" s="229"/>
      <c r="V544" s="229"/>
      <c r="W544" s="229"/>
      <c r="X544" s="229"/>
      <c r="Y544" s="229"/>
      <c r="Z544" s="229"/>
      <c r="AA544" s="229"/>
      <c r="AB544" s="229"/>
      <c r="AC544" s="229"/>
    </row>
    <row r="545" spans="3:42" s="171" customFormat="1" ht="15" customHeight="1">
      <c r="C545" s="1050"/>
      <c r="D545" s="172" t="str">
        <f>IF(Indice_index!$Z$1=1,"outubro","October")</f>
        <v>outubro</v>
      </c>
      <c r="E545" s="1182">
        <v>39.5</v>
      </c>
      <c r="F545" s="1182">
        <v>-3.3</v>
      </c>
      <c r="G545" s="1182">
        <v>33.9</v>
      </c>
      <c r="H545" s="1182">
        <v>33.9</v>
      </c>
      <c r="I545" s="1182">
        <v>2.8</v>
      </c>
      <c r="J545" s="1182">
        <v>9.9</v>
      </c>
      <c r="K545" s="1182">
        <v>-12.2</v>
      </c>
      <c r="L545" s="1182">
        <v>10.1</v>
      </c>
      <c r="M545" s="1182">
        <v>8</v>
      </c>
      <c r="N545" s="1182">
        <v>4.4000000000000004</v>
      </c>
      <c r="O545" s="1182">
        <v>-19.8</v>
      </c>
      <c r="P545" s="1182">
        <v>-17.7</v>
      </c>
      <c r="R545" s="229"/>
      <c r="S545" s="229"/>
      <c r="T545" s="229"/>
      <c r="U545" s="229"/>
      <c r="V545" s="229"/>
      <c r="W545" s="229"/>
      <c r="X545" s="229"/>
      <c r="Y545" s="229"/>
      <c r="Z545" s="229"/>
      <c r="AA545" s="229"/>
      <c r="AB545" s="229"/>
      <c r="AC545" s="229"/>
    </row>
    <row r="546" spans="3:42" s="171" customFormat="1" ht="15" customHeight="1">
      <c r="C546" s="1050"/>
      <c r="D546" s="172" t="str">
        <f>IF(Indice_index!$Z$1=1,"novembro","November")</f>
        <v>novembro</v>
      </c>
      <c r="E546" s="1183">
        <v>185.2981969486824</v>
      </c>
      <c r="F546" s="1183">
        <v>31.343283582089555</v>
      </c>
      <c r="G546" s="1183">
        <v>12.391304347826088</v>
      </c>
      <c r="H546" s="1183">
        <v>84.056338028169009</v>
      </c>
      <c r="I546" s="1183">
        <v>7.4565883554647607</v>
      </c>
      <c r="J546" s="1183">
        <v>65.649273887206007</v>
      </c>
      <c r="K546" s="1183">
        <v>26.013789365437628</v>
      </c>
      <c r="L546" s="1183">
        <v>-8.8076257153516018</v>
      </c>
      <c r="M546" s="1183">
        <v>37.145471165911317</v>
      </c>
      <c r="N546" s="1183">
        <v>10.189489535454682</v>
      </c>
      <c r="O546" s="1183">
        <v>-38.769625120153805</v>
      </c>
      <c r="P546" s="1183">
        <v>-18.863004172461761</v>
      </c>
      <c r="R546" s="229"/>
      <c r="S546" s="229"/>
      <c r="T546" s="229"/>
      <c r="U546" s="229"/>
      <c r="V546" s="229"/>
      <c r="W546" s="229"/>
      <c r="X546" s="229"/>
      <c r="Y546" s="229"/>
      <c r="Z546" s="229"/>
      <c r="AA546" s="229"/>
      <c r="AB546" s="229"/>
      <c r="AC546" s="229"/>
    </row>
    <row r="547" spans="3:42" s="171" customFormat="1" ht="15" customHeight="1">
      <c r="C547" s="1050"/>
      <c r="D547" s="172" t="str">
        <f>IF(Indice_index!$Z$1=1,"dezembro","December")</f>
        <v>dezembro</v>
      </c>
      <c r="E547" s="1127">
        <v>135.73059360730593</v>
      </c>
      <c r="F547" s="1127">
        <v>-24.311926605504588</v>
      </c>
      <c r="G547" s="1127">
        <v>-22.53012048192771</v>
      </c>
      <c r="H547" s="1127">
        <v>49.324324324324323</v>
      </c>
      <c r="I547" s="1127">
        <v>8.0947680157946689</v>
      </c>
      <c r="J547" s="1127">
        <v>35.636954147504483</v>
      </c>
      <c r="K547" s="1127">
        <v>-30.219616809056653</v>
      </c>
      <c r="L547" s="1127">
        <v>-35.29300310023357</v>
      </c>
      <c r="M547" s="1127">
        <v>11.346467840992702</v>
      </c>
      <c r="N547" s="1127">
        <v>13.0917041557187</v>
      </c>
      <c r="O547" s="1127">
        <v>-38.321428571428569</v>
      </c>
      <c r="P547" s="1127">
        <v>-16.476173729558649</v>
      </c>
      <c r="R547" s="229"/>
      <c r="S547" s="229"/>
      <c r="T547" s="229"/>
      <c r="U547" s="229"/>
      <c r="V547" s="229"/>
      <c r="W547" s="229"/>
      <c r="X547" s="229"/>
      <c r="Y547" s="229"/>
      <c r="Z547" s="229"/>
      <c r="AA547" s="229"/>
      <c r="AB547" s="229"/>
      <c r="AC547" s="229"/>
    </row>
    <row r="548" spans="3:42" ht="15" customHeight="1">
      <c r="C548" s="1130">
        <v>2020</v>
      </c>
      <c r="D548" s="171"/>
      <c r="E548" s="1127"/>
      <c r="F548" s="1127"/>
      <c r="G548" s="1127"/>
      <c r="H548" s="1127"/>
      <c r="I548" s="1127"/>
      <c r="J548" s="1127"/>
      <c r="K548" s="1127"/>
      <c r="L548" s="1127"/>
      <c r="N548" s="1127"/>
      <c r="O548" s="1127"/>
      <c r="P548" s="1127"/>
      <c r="R548" s="230"/>
      <c r="S548" s="230"/>
      <c r="T548" s="230"/>
      <c r="U548" s="230"/>
      <c r="V548" s="230"/>
      <c r="W548" s="230"/>
      <c r="X548" s="230"/>
      <c r="Y548" s="230"/>
      <c r="Z548" s="230"/>
      <c r="AA548" s="230"/>
      <c r="AB548" s="230"/>
      <c r="AC548" s="230"/>
    </row>
    <row r="549" spans="3:42" s="171" customFormat="1" ht="15" customHeight="1">
      <c r="C549" s="1050"/>
      <c r="D549" s="172" t="str">
        <f>IF(Indice_index!$Z$1=1,"janeiro","January")</f>
        <v>janeiro</v>
      </c>
      <c r="E549" s="1181">
        <v>62.625</v>
      </c>
      <c r="F549" s="1181">
        <v>-42.285714285714285</v>
      </c>
      <c r="G549" s="1181">
        <v>111.31578947368422</v>
      </c>
      <c r="H549" s="1181">
        <v>73.371757925072046</v>
      </c>
      <c r="I549" s="1181">
        <v>23.18271119842829</v>
      </c>
      <c r="J549" s="1181">
        <v>29.061286504775534</v>
      </c>
      <c r="K549" s="1181">
        <v>-29.759636700044805</v>
      </c>
      <c r="L549" s="1181">
        <v>183.73480079569762</v>
      </c>
      <c r="M549" s="1181">
        <v>59.865318660577472</v>
      </c>
      <c r="N549" s="1181">
        <v>9.3987115660011096</v>
      </c>
      <c r="O549" s="1181">
        <v>-15.821610759004487</v>
      </c>
      <c r="P549" s="1181">
        <v>34.281868871370882</v>
      </c>
      <c r="R549" s="230"/>
      <c r="S549" s="230"/>
      <c r="T549" s="230"/>
      <c r="U549" s="230"/>
      <c r="V549" s="230"/>
      <c r="W549" s="230"/>
      <c r="X549" s="230"/>
      <c r="Y549" s="230"/>
      <c r="Z549" s="230"/>
      <c r="AA549" s="230"/>
      <c r="AB549" s="230"/>
      <c r="AC549" s="230"/>
      <c r="AD549" s="417"/>
      <c r="AE549" s="417"/>
      <c r="AF549" s="417"/>
      <c r="AG549" s="417"/>
      <c r="AH549" s="417"/>
      <c r="AI549" s="417"/>
      <c r="AJ549" s="417"/>
      <c r="AK549" s="417"/>
      <c r="AL549" s="417"/>
      <c r="AM549" s="417"/>
      <c r="AN549" s="417"/>
      <c r="AO549" s="417"/>
    </row>
    <row r="550" spans="3:42" s="171" customFormat="1" ht="15" customHeight="1">
      <c r="C550" s="1050"/>
      <c r="D550" s="172" t="str">
        <f>IF(Indice_index!$Z$1=1,"fevereiro","February")</f>
        <v>fevereiro</v>
      </c>
      <c r="E550" s="1181">
        <v>69.750367107195302</v>
      </c>
      <c r="F550" s="1181">
        <v>-48.192771084337352</v>
      </c>
      <c r="G550" s="1181">
        <v>-12.791991101223582</v>
      </c>
      <c r="H550" s="1181">
        <v>16.036655211912944</v>
      </c>
      <c r="I550" s="1181">
        <v>15.657788539144471</v>
      </c>
      <c r="J550" s="1181">
        <v>54.8245143838042</v>
      </c>
      <c r="K550" s="1181">
        <v>-48.433576556043484</v>
      </c>
      <c r="L550" s="1181">
        <v>-32.144047137106718</v>
      </c>
      <c r="M550" s="1181">
        <v>13.080041952313362</v>
      </c>
      <c r="N550" s="1181">
        <v>5.0751254229762619</v>
      </c>
      <c r="O550" s="1181">
        <v>-7.3224789020543746</v>
      </c>
      <c r="P550" s="1181">
        <v>-22.188340807174885</v>
      </c>
      <c r="R550" s="230"/>
      <c r="S550" s="230"/>
      <c r="T550" s="230"/>
      <c r="U550" s="230"/>
      <c r="V550" s="230"/>
      <c r="W550" s="230"/>
      <c r="X550" s="230"/>
      <c r="Y550" s="230"/>
      <c r="Z550" s="230"/>
      <c r="AA550" s="230"/>
      <c r="AB550" s="230"/>
      <c r="AC550" s="230"/>
      <c r="AD550" s="417"/>
      <c r="AE550" s="417"/>
      <c r="AF550" s="417"/>
      <c r="AG550" s="417"/>
      <c r="AH550" s="417"/>
      <c r="AI550" s="417"/>
      <c r="AJ550" s="417"/>
      <c r="AK550" s="417"/>
      <c r="AL550" s="417"/>
      <c r="AM550" s="417"/>
      <c r="AN550" s="417"/>
      <c r="AO550" s="417"/>
    </row>
    <row r="551" spans="3:42" s="171" customFormat="1" ht="15" customHeight="1">
      <c r="C551" s="1050"/>
      <c r="D551" s="172" t="str">
        <f>IF(Indice_index!$Z$1=1,"março","March")</f>
        <v>março</v>
      </c>
      <c r="E551" s="1181">
        <v>118.25242718446603</v>
      </c>
      <c r="F551" s="1181">
        <v>15.625</v>
      </c>
      <c r="G551" s="1181">
        <v>-2.4255788313120177</v>
      </c>
      <c r="H551" s="1181">
        <v>37.365911799761619</v>
      </c>
      <c r="I551" s="1181">
        <v>-7.1994715984147959</v>
      </c>
      <c r="J551" s="1181">
        <v>103.24281880757151</v>
      </c>
      <c r="K551" s="1181">
        <v>3.273425399518167</v>
      </c>
      <c r="L551" s="1181">
        <v>-7.2461062960342506</v>
      </c>
      <c r="M551" s="1181">
        <v>47.943227140003522</v>
      </c>
      <c r="N551" s="1181">
        <v>-9.3230300511125037</v>
      </c>
      <c r="O551" s="1181">
        <v>-4.7326701896176457</v>
      </c>
      <c r="P551" s="1181">
        <v>-4.9330643682376634</v>
      </c>
      <c r="R551" s="230"/>
      <c r="S551" s="230"/>
      <c r="T551" s="230"/>
      <c r="U551" s="230"/>
      <c r="V551" s="230"/>
      <c r="W551" s="230"/>
      <c r="X551" s="230"/>
      <c r="Y551" s="230"/>
      <c r="Z551" s="230"/>
      <c r="AA551" s="230"/>
      <c r="AB551" s="230"/>
      <c r="AC551" s="230"/>
      <c r="AD551" s="417"/>
      <c r="AE551" s="417"/>
      <c r="AF551" s="417"/>
      <c r="AG551" s="417"/>
      <c r="AH551" s="417"/>
      <c r="AI551" s="417"/>
      <c r="AJ551" s="417"/>
      <c r="AK551" s="417"/>
      <c r="AL551" s="417"/>
      <c r="AM551" s="417"/>
      <c r="AN551" s="417"/>
      <c r="AO551" s="417"/>
    </row>
    <row r="552" spans="3:42" ht="15" customHeight="1">
      <c r="C552" s="1050"/>
      <c r="D552" s="172" t="str">
        <f>IF(Indice_index!$Z$1=1,"abril","April")</f>
        <v>abril</v>
      </c>
      <c r="E552" s="1181">
        <v>28.544600938967136</v>
      </c>
      <c r="F552" s="1181">
        <v>-64.968152866242036</v>
      </c>
      <c r="G552" s="1181">
        <v>30.695770804911319</v>
      </c>
      <c r="H552" s="1181">
        <v>15.388257575757574</v>
      </c>
      <c r="I552" s="1181">
        <v>7.9545454545454541</v>
      </c>
      <c r="J552" s="1181">
        <v>33.013179052279298</v>
      </c>
      <c r="K552" s="1181">
        <v>-61.352029525055663</v>
      </c>
      <c r="L552" s="1181">
        <v>14.532856191004734</v>
      </c>
      <c r="M552" s="1181">
        <v>13.208872926954406</v>
      </c>
      <c r="N552" s="1181">
        <v>4.7948691931676848</v>
      </c>
      <c r="O552" s="1181">
        <v>5.2434456928838955</v>
      </c>
      <c r="P552" s="1181">
        <v>-12.365783822476731</v>
      </c>
      <c r="R552" s="230"/>
      <c r="S552" s="230"/>
      <c r="T552" s="230"/>
      <c r="U552" s="230"/>
      <c r="V552" s="230"/>
      <c r="W552" s="230"/>
      <c r="X552" s="230"/>
      <c r="Y552" s="230"/>
      <c r="Z552" s="230"/>
      <c r="AA552" s="230"/>
      <c r="AB552" s="230"/>
      <c r="AC552" s="230"/>
      <c r="AD552" s="417"/>
      <c r="AE552" s="417"/>
      <c r="AF552" s="417"/>
      <c r="AG552" s="417"/>
      <c r="AH552" s="417"/>
      <c r="AI552" s="417"/>
      <c r="AJ552" s="417"/>
      <c r="AK552" s="417"/>
      <c r="AL552" s="417"/>
      <c r="AM552" s="417"/>
      <c r="AN552" s="417"/>
      <c r="AO552" s="417"/>
      <c r="AP552" s="171"/>
    </row>
    <row r="553" spans="3:42" ht="15" customHeight="1">
      <c r="C553" s="1050"/>
      <c r="D553" s="172" t="str">
        <f>IF(Indice_index!$Z$1=1,"maio","May")</f>
        <v>maio</v>
      </c>
      <c r="E553" s="1184">
        <v>35.726950354609926</v>
      </c>
      <c r="F553" s="1184">
        <v>-68.032786885245898</v>
      </c>
      <c r="G553" s="1184">
        <v>11.224489795918368</v>
      </c>
      <c r="H553" s="1184">
        <v>14.906832298136646</v>
      </c>
      <c r="I553" s="1184">
        <v>26.359447004608295</v>
      </c>
      <c r="J553" s="1184">
        <v>28.281477037151841</v>
      </c>
      <c r="K553" s="1184">
        <v>-62.701923332296637</v>
      </c>
      <c r="L553" s="1184">
        <v>11.389292670056442</v>
      </c>
      <c r="M553" s="1184">
        <v>14.832487390487422</v>
      </c>
      <c r="N553" s="1184">
        <v>-14.691124358028137</v>
      </c>
      <c r="O553" s="1184">
        <v>-1.3377159455740713</v>
      </c>
      <c r="P553" s="1184">
        <v>0.15533980582523388</v>
      </c>
      <c r="R553" s="230"/>
      <c r="S553" s="230"/>
      <c r="T553" s="230"/>
      <c r="U553" s="230"/>
      <c r="V553" s="230"/>
      <c r="W553" s="230"/>
      <c r="X553" s="230"/>
      <c r="Y553" s="230"/>
      <c r="Z553" s="230"/>
      <c r="AA553" s="230"/>
      <c r="AB553" s="230"/>
      <c r="AC553" s="230"/>
      <c r="AD553" s="417"/>
      <c r="AE553" s="417"/>
      <c r="AF553" s="417"/>
      <c r="AG553" s="417"/>
      <c r="AH553" s="417"/>
      <c r="AI553" s="417"/>
      <c r="AJ553" s="417"/>
      <c r="AK553" s="417"/>
      <c r="AL553" s="417"/>
      <c r="AM553" s="417"/>
      <c r="AN553" s="417"/>
      <c r="AO553" s="417"/>
      <c r="AP553" s="171"/>
    </row>
    <row r="554" spans="3:42" ht="15" customHeight="1">
      <c r="C554" s="1050"/>
      <c r="D554" s="172" t="str">
        <f>IF(Indice_index!$Z$1=1,"junho","June")</f>
        <v>junho</v>
      </c>
      <c r="E554" s="1181">
        <v>58.6</v>
      </c>
      <c r="F554" s="1181">
        <v>-65.5</v>
      </c>
      <c r="G554" s="1181">
        <v>-11.9</v>
      </c>
      <c r="H554" s="1181">
        <v>12.3</v>
      </c>
      <c r="I554" s="1181">
        <v>7.5</v>
      </c>
      <c r="J554" s="1181">
        <v>63.2</v>
      </c>
      <c r="K554" s="1181">
        <v>-66.2</v>
      </c>
      <c r="L554" s="1181">
        <v>-7.2</v>
      </c>
      <c r="M554" s="1181">
        <v>24.3</v>
      </c>
      <c r="N554" s="1181">
        <v>8.1999999999999993</v>
      </c>
      <c r="O554" s="1181">
        <v>2.4</v>
      </c>
      <c r="P554" s="1181">
        <v>5.4</v>
      </c>
      <c r="R554" s="230"/>
      <c r="S554" s="230"/>
      <c r="T554" s="230"/>
      <c r="U554" s="230"/>
      <c r="V554" s="230"/>
      <c r="W554" s="230"/>
      <c r="X554" s="230"/>
      <c r="Y554" s="230"/>
      <c r="Z554" s="230"/>
      <c r="AA554" s="230"/>
      <c r="AB554" s="230"/>
      <c r="AC554" s="230"/>
    </row>
    <row r="555" spans="3:42" ht="15" customHeight="1">
      <c r="C555" s="1050"/>
      <c r="D555" s="172" t="str">
        <f>IF(Indice_index!$Z$1=1,"julho","July")</f>
        <v>julho</v>
      </c>
      <c r="E555" s="1181">
        <v>43.3</v>
      </c>
      <c r="F555" s="1181">
        <v>-64.599999999999994</v>
      </c>
      <c r="G555" s="1181">
        <v>24.4</v>
      </c>
      <c r="H555" s="1181">
        <v>26.8</v>
      </c>
      <c r="I555" s="1181">
        <v>20.100000000000001</v>
      </c>
      <c r="J555" s="1181">
        <v>44</v>
      </c>
      <c r="K555" s="1181">
        <v>-64.5</v>
      </c>
      <c r="L555" s="1181">
        <v>30.8</v>
      </c>
      <c r="M555" s="1181">
        <v>30.6</v>
      </c>
      <c r="N555" s="1181">
        <v>28.5</v>
      </c>
      <c r="O555" s="1181">
        <v>1.7</v>
      </c>
      <c r="P555" s="1181">
        <v>5.2</v>
      </c>
      <c r="R555" s="230"/>
      <c r="S555" s="230"/>
      <c r="T555" s="230"/>
      <c r="U555" s="230"/>
      <c r="V555" s="230"/>
      <c r="W555" s="230"/>
      <c r="X555" s="230"/>
      <c r="Y555" s="230"/>
      <c r="Z555" s="230"/>
      <c r="AA555" s="230"/>
      <c r="AB555" s="230"/>
      <c r="AC555" s="230"/>
    </row>
    <row r="556" spans="3:42" ht="15" customHeight="1">
      <c r="C556" s="1050"/>
      <c r="D556" s="172" t="str">
        <f>IF(Indice_index!$Z$1=1,"agosto","August")</f>
        <v>agosto</v>
      </c>
      <c r="E556" s="1181">
        <v>51.079136690647488</v>
      </c>
      <c r="F556" s="1181">
        <v>-77.070063694267517</v>
      </c>
      <c r="G556" s="1181">
        <v>17.23329425556858</v>
      </c>
      <c r="H556" s="1181">
        <v>26.374180534543623</v>
      </c>
      <c r="I556" s="1181">
        <v>10.084825636192271</v>
      </c>
      <c r="J556" s="1181">
        <v>78.072897743494167</v>
      </c>
      <c r="K556" s="1181">
        <v>-77.063042667441266</v>
      </c>
      <c r="L556" s="1181">
        <v>32.584157565991759</v>
      </c>
      <c r="M556" s="1181">
        <v>51.100963168788326</v>
      </c>
      <c r="N556" s="1181">
        <v>13.459985911226461</v>
      </c>
      <c r="O556" s="1181">
        <v>18.17082247860067</v>
      </c>
      <c r="P556" s="1181">
        <v>13.086017121891548</v>
      </c>
      <c r="X556" s="229"/>
      <c r="Y556" s="229"/>
      <c r="Z556" s="229"/>
      <c r="AA556" s="229"/>
    </row>
    <row r="557" spans="3:42" s="171" customFormat="1" ht="15" customHeight="1">
      <c r="C557" s="1050"/>
      <c r="D557" s="172" t="str">
        <f>IF(Indice_index!$Z$1=1,"setembro","September")</f>
        <v>setembro</v>
      </c>
      <c r="E557" s="1181">
        <v>29.469548133595286</v>
      </c>
      <c r="F557" s="1181">
        <v>-84.574468085106375</v>
      </c>
      <c r="G557" s="1181">
        <v>-16.069489685124864</v>
      </c>
      <c r="H557" s="1181">
        <v>-0.32910202162670427</v>
      </c>
      <c r="I557" s="1181">
        <v>32.183908045977013</v>
      </c>
      <c r="J557" s="1181">
        <v>73.446873621707283</v>
      </c>
      <c r="K557" s="1181">
        <v>-81.573720194209571</v>
      </c>
      <c r="L557" s="1181">
        <v>7.8137034258189546</v>
      </c>
      <c r="M557" s="1181">
        <v>40.448908404512032</v>
      </c>
      <c r="N557" s="1181">
        <v>28.034566716222109</v>
      </c>
      <c r="O557" s="1181">
        <v>34.141694093192456</v>
      </c>
      <c r="P557" s="1181">
        <v>28.4661446338093</v>
      </c>
      <c r="R557" s="229"/>
      <c r="S557" s="229"/>
      <c r="T557" s="229"/>
      <c r="U557" s="229"/>
      <c r="V557" s="229"/>
      <c r="W557" s="229"/>
      <c r="X557" s="229"/>
      <c r="Y557" s="229"/>
      <c r="Z557" s="229"/>
      <c r="AA557" s="229"/>
      <c r="AB557" s="229"/>
      <c r="AC557" s="229"/>
    </row>
    <row r="558" spans="3:42" s="171" customFormat="1" ht="15" customHeight="1">
      <c r="C558" s="1050"/>
      <c r="D558" s="172" t="str">
        <f>IF(Indice_index!$Z$1=1,"outubro","October")</f>
        <v>outubro</v>
      </c>
      <c r="E558" s="1185">
        <v>45.3</v>
      </c>
      <c r="F558" s="1185">
        <v>-69</v>
      </c>
      <c r="G558" s="1185">
        <v>5.2</v>
      </c>
      <c r="H558" s="1185">
        <v>21.4</v>
      </c>
      <c r="I558" s="1185">
        <v>1.9</v>
      </c>
      <c r="J558" s="1185">
        <v>89.3</v>
      </c>
      <c r="K558" s="1185">
        <v>-56.6</v>
      </c>
      <c r="L558" s="1185">
        <v>29.8</v>
      </c>
      <c r="M558" s="1185">
        <v>64.7</v>
      </c>
      <c r="N558" s="1185">
        <v>3.5</v>
      </c>
      <c r="O558" s="1185">
        <v>30.7</v>
      </c>
      <c r="P558" s="1185">
        <v>23.4</v>
      </c>
      <c r="R558" s="229"/>
      <c r="S558" s="229"/>
      <c r="T558" s="229"/>
      <c r="U558" s="229"/>
      <c r="V558" s="229"/>
      <c r="W558" s="229"/>
      <c r="X558" s="229"/>
      <c r="Y558" s="229"/>
      <c r="Z558" s="229"/>
      <c r="AA558" s="229"/>
      <c r="AB558" s="229"/>
      <c r="AC558" s="229"/>
    </row>
    <row r="559" spans="3:42" s="171" customFormat="1" ht="15" customHeight="1">
      <c r="C559" s="1050"/>
      <c r="D559" s="172" t="str">
        <f>IF(Indice_index!$Z$1=1,"novembro","November")</f>
        <v>novembro</v>
      </c>
      <c r="E559" s="1186">
        <v>-46</v>
      </c>
      <c r="F559" s="1186">
        <v>-51.1</v>
      </c>
      <c r="G559" s="1186">
        <v>-15.8</v>
      </c>
      <c r="H559" s="1186">
        <v>-36.700000000000003</v>
      </c>
      <c r="I559" s="1186">
        <v>10.5</v>
      </c>
      <c r="J559" s="1186">
        <v>17</v>
      </c>
      <c r="K559" s="1186">
        <v>-47.6</v>
      </c>
      <c r="L559" s="1186">
        <v>-7.3</v>
      </c>
      <c r="M559" s="1186">
        <v>5.9</v>
      </c>
      <c r="N559" s="1186">
        <v>10.7</v>
      </c>
      <c r="O559" s="1186">
        <v>104.6</v>
      </c>
      <c r="P559" s="1186">
        <v>10.1</v>
      </c>
      <c r="R559" s="229"/>
      <c r="S559" s="229"/>
      <c r="T559" s="229"/>
      <c r="U559" s="229"/>
      <c r="V559" s="229"/>
      <c r="W559" s="229"/>
      <c r="X559" s="229"/>
      <c r="Y559" s="229"/>
      <c r="Z559" s="229"/>
      <c r="AA559" s="229"/>
      <c r="AB559" s="229"/>
      <c r="AC559" s="229"/>
    </row>
    <row r="560" spans="3:42" s="171" customFormat="1" ht="15" customHeight="1">
      <c r="C560" s="1050"/>
      <c r="D560" s="172" t="str">
        <f>IF(Indice_index!$Z$1=1,"dezembro","December")</f>
        <v>dezembro</v>
      </c>
      <c r="E560" s="1187">
        <v>-48.8</v>
      </c>
      <c r="F560" s="1187">
        <v>-35.799999999999997</v>
      </c>
      <c r="G560" s="1187">
        <v>38.299999999999997</v>
      </c>
      <c r="H560" s="1187">
        <v>-28.6</v>
      </c>
      <c r="I560" s="1187">
        <v>17.600000000000001</v>
      </c>
      <c r="J560" s="1187">
        <v>3.4</v>
      </c>
      <c r="K560" s="1187">
        <v>-24.4</v>
      </c>
      <c r="L560" s="1187">
        <v>53.1</v>
      </c>
      <c r="M560" s="1187">
        <v>8.1999999999999993</v>
      </c>
      <c r="N560" s="1187">
        <v>19.8</v>
      </c>
      <c r="O560" s="1187">
        <v>93.7</v>
      </c>
      <c r="P560" s="1187">
        <v>10.7</v>
      </c>
      <c r="R560" s="229"/>
      <c r="S560" s="229"/>
      <c r="T560" s="229"/>
      <c r="U560" s="229"/>
      <c r="V560" s="229"/>
      <c r="W560" s="229"/>
      <c r="X560" s="229"/>
      <c r="Y560" s="229"/>
      <c r="Z560" s="229"/>
      <c r="AA560" s="229"/>
      <c r="AB560" s="229"/>
      <c r="AC560" s="229"/>
    </row>
    <row r="561" spans="3:42" ht="15" customHeight="1">
      <c r="C561" s="1188" t="s">
        <v>67</v>
      </c>
      <c r="D561" s="171"/>
      <c r="E561" s="1127"/>
      <c r="F561" s="1127"/>
      <c r="G561" s="1127"/>
      <c r="H561" s="1127"/>
      <c r="I561" s="1127"/>
      <c r="J561" s="1127"/>
      <c r="K561" s="1127"/>
      <c r="L561" s="1127"/>
      <c r="N561" s="1127"/>
      <c r="O561" s="1127"/>
      <c r="P561" s="1127"/>
      <c r="R561" s="230"/>
      <c r="S561" s="230"/>
      <c r="T561" s="230"/>
      <c r="U561" s="230"/>
      <c r="V561" s="230"/>
      <c r="W561" s="230"/>
      <c r="X561" s="230"/>
      <c r="Y561" s="230"/>
      <c r="Z561" s="230"/>
      <c r="AA561" s="230"/>
      <c r="AB561" s="230"/>
      <c r="AC561" s="230"/>
    </row>
    <row r="562" spans="3:42" s="171" customFormat="1" ht="15" customHeight="1">
      <c r="C562" s="1050"/>
      <c r="D562" s="172" t="str">
        <f>IF(Indice_index!$Z$1=1,"janeiro","January")</f>
        <v>janeiro</v>
      </c>
      <c r="E562" s="1181">
        <v>-21.3</v>
      </c>
      <c r="F562" s="1181">
        <v>-13.9</v>
      </c>
      <c r="G562" s="1181">
        <v>-57.8</v>
      </c>
      <c r="H562" s="1181">
        <v>-40.5</v>
      </c>
      <c r="I562" s="1181">
        <v>5.2</v>
      </c>
      <c r="J562" s="1181">
        <v>16.600000000000001</v>
      </c>
      <c r="K562" s="1181">
        <v>-13.6</v>
      </c>
      <c r="L562" s="1181">
        <v>-66.8</v>
      </c>
      <c r="M562" s="1181">
        <v>-20.100000000000001</v>
      </c>
      <c r="N562" s="1181">
        <v>22.9</v>
      </c>
      <c r="O562" s="1181">
        <v>44.1</v>
      </c>
      <c r="P562" s="1181">
        <v>-21.3</v>
      </c>
      <c r="R562" s="230"/>
      <c r="S562" s="230"/>
      <c r="T562" s="230"/>
      <c r="U562" s="230"/>
      <c r="V562" s="230"/>
      <c r="W562" s="230"/>
      <c r="X562" s="230"/>
      <c r="Y562" s="230"/>
      <c r="Z562" s="230"/>
      <c r="AA562" s="230"/>
      <c r="AB562" s="230"/>
      <c r="AC562" s="230"/>
      <c r="AD562" s="417"/>
      <c r="AE562" s="417"/>
      <c r="AF562" s="417"/>
      <c r="AG562" s="417"/>
      <c r="AH562" s="417"/>
      <c r="AI562" s="417"/>
      <c r="AJ562" s="417"/>
      <c r="AK562" s="417"/>
      <c r="AL562" s="417"/>
      <c r="AM562" s="417"/>
      <c r="AN562" s="417"/>
      <c r="AO562" s="417"/>
    </row>
    <row r="563" spans="3:42" s="171" customFormat="1" ht="15" customHeight="1">
      <c r="C563" s="1050"/>
      <c r="D563" s="172" t="str">
        <f>IF(Indice_index!$Z$1=1,"fevereiro","February")</f>
        <v>fevereiro</v>
      </c>
      <c r="E563" s="1181">
        <v>-23.6</v>
      </c>
      <c r="F563" s="1181">
        <v>17.399999999999999</v>
      </c>
      <c r="G563" s="1181">
        <v>6.6</v>
      </c>
      <c r="H563" s="1181">
        <v>-10.199999999999999</v>
      </c>
      <c r="I563" s="1181">
        <v>17.100000000000001</v>
      </c>
      <c r="J563" s="1181">
        <v>4</v>
      </c>
      <c r="K563" s="1181">
        <v>6.8</v>
      </c>
      <c r="L563" s="1181">
        <v>34.9</v>
      </c>
      <c r="M563" s="1181">
        <v>10.3</v>
      </c>
      <c r="N563" s="1181">
        <v>31.2</v>
      </c>
      <c r="O563" s="1181">
        <v>31.5</v>
      </c>
      <c r="P563" s="1181">
        <v>26.5</v>
      </c>
      <c r="R563" s="230"/>
      <c r="S563" s="230"/>
      <c r="T563" s="230"/>
      <c r="U563" s="230"/>
      <c r="V563" s="230"/>
      <c r="W563" s="230"/>
      <c r="X563" s="230"/>
      <c r="Y563" s="230"/>
      <c r="Z563" s="230"/>
      <c r="AA563" s="230"/>
      <c r="AB563" s="230"/>
      <c r="AC563" s="230"/>
      <c r="AD563" s="417"/>
      <c r="AE563" s="417"/>
      <c r="AF563" s="417"/>
      <c r="AG563" s="417"/>
      <c r="AH563" s="417"/>
      <c r="AI563" s="417"/>
      <c r="AJ563" s="417"/>
      <c r="AK563" s="417"/>
      <c r="AL563" s="417"/>
      <c r="AM563" s="417"/>
      <c r="AN563" s="417"/>
      <c r="AO563" s="417"/>
    </row>
    <row r="564" spans="3:42" s="171" customFormat="1" ht="15" customHeight="1">
      <c r="C564" s="1050"/>
      <c r="D564" s="172" t="str">
        <f>IF(Indice_index!$Z$1=1,"março","March")</f>
        <v>março</v>
      </c>
      <c r="E564" s="1189">
        <v>-7.8291814946619214</v>
      </c>
      <c r="F564" s="1189">
        <v>-25</v>
      </c>
      <c r="G564" s="1189">
        <v>21.807909604519775</v>
      </c>
      <c r="H564" s="1189">
        <v>1.3449023861171365</v>
      </c>
      <c r="I564" s="1189">
        <v>71.17437722419929</v>
      </c>
      <c r="J564" s="1189">
        <v>10.839271844964628</v>
      </c>
      <c r="K564" s="1189">
        <v>-53.224774859240931</v>
      </c>
      <c r="L564" s="1189">
        <v>33.704238057488389</v>
      </c>
      <c r="M564" s="1189">
        <v>7.3137086631989163</v>
      </c>
      <c r="N564" s="1189">
        <v>82.598302873765732</v>
      </c>
      <c r="O564" s="1189">
        <v>13.280039154906595</v>
      </c>
      <c r="P564" s="1189">
        <v>9.7608024691358075</v>
      </c>
      <c r="R564" s="230"/>
      <c r="S564" s="230"/>
      <c r="T564" s="230"/>
      <c r="U564" s="230"/>
      <c r="V564" s="230"/>
      <c r="W564" s="230"/>
      <c r="X564" s="230"/>
      <c r="Y564" s="230"/>
      <c r="Z564" s="230"/>
      <c r="AA564" s="230"/>
      <c r="AB564" s="230"/>
      <c r="AC564" s="230"/>
      <c r="AD564" s="417"/>
      <c r="AE564" s="417"/>
      <c r="AF564" s="417"/>
      <c r="AG564" s="417"/>
      <c r="AH564" s="417"/>
      <c r="AI564" s="417"/>
      <c r="AJ564" s="417"/>
      <c r="AK564" s="417"/>
      <c r="AL564" s="417"/>
      <c r="AM564" s="417"/>
      <c r="AN564" s="417"/>
      <c r="AO564" s="417"/>
    </row>
    <row r="565" spans="3:42" ht="15" customHeight="1">
      <c r="C565" s="1050"/>
      <c r="D565" s="172" t="str">
        <f>IF(Indice_index!$Z$1=1,"abril","April")</f>
        <v>abril</v>
      </c>
      <c r="E565" s="1181">
        <v>-6.281957633308985</v>
      </c>
      <c r="F565" s="1181">
        <v>-34.545454545454547</v>
      </c>
      <c r="G565" s="1181">
        <v>29.018789144050107</v>
      </c>
      <c r="H565" s="1181">
        <v>6.3192449733278613</v>
      </c>
      <c r="I565" s="1181">
        <v>47.969924812030072</v>
      </c>
      <c r="J565" s="1181">
        <v>4.0676343472848737</v>
      </c>
      <c r="K565" s="1181">
        <v>-48.029008441945891</v>
      </c>
      <c r="L565" s="1181">
        <v>51.514067622768657</v>
      </c>
      <c r="M565" s="1181">
        <v>10.539632890099218</v>
      </c>
      <c r="N565" s="1181">
        <v>60.052185415998402</v>
      </c>
      <c r="O565" s="1181">
        <v>9.4424673784104467</v>
      </c>
      <c r="P565" s="1181">
        <v>17.418827853788034</v>
      </c>
      <c r="R565" s="230"/>
      <c r="S565" s="230"/>
      <c r="T565" s="230"/>
      <c r="U565" s="230"/>
      <c r="V565" s="230"/>
      <c r="W565" s="230"/>
      <c r="X565" s="230"/>
      <c r="Y565" s="230"/>
      <c r="Z565" s="230"/>
      <c r="AA565" s="230"/>
      <c r="AB565" s="230"/>
      <c r="AC565" s="230"/>
      <c r="AD565" s="417"/>
      <c r="AE565" s="417"/>
      <c r="AF565" s="417"/>
      <c r="AG565" s="417"/>
      <c r="AH565" s="417"/>
      <c r="AI565" s="417"/>
      <c r="AJ565" s="417"/>
      <c r="AK565" s="417"/>
      <c r="AL565" s="417"/>
      <c r="AM565" s="417"/>
      <c r="AN565" s="417"/>
      <c r="AO565" s="417"/>
      <c r="AP565" s="171"/>
    </row>
    <row r="566" spans="3:42" ht="15" customHeight="1">
      <c r="C566" s="1050"/>
      <c r="D566" s="172" t="str">
        <f>IF(Indice_index!$Z$1=1,"maio","May")</f>
        <v>maio</v>
      </c>
      <c r="E566" s="1190">
        <v>-14.565643370346178</v>
      </c>
      <c r="F566" s="1190">
        <v>41.025641025641022</v>
      </c>
      <c r="G566" s="1190">
        <v>4.281345565749235</v>
      </c>
      <c r="H566" s="1190">
        <v>-5.7528957528957525</v>
      </c>
      <c r="I566" s="1190">
        <v>-8.2421590080233411</v>
      </c>
      <c r="J566" s="1190">
        <v>-8.4815652405224604</v>
      </c>
      <c r="K566" s="1190">
        <v>44.040690654105155</v>
      </c>
      <c r="L566" s="1190">
        <v>9.7212951494644315</v>
      </c>
      <c r="M566" s="1190">
        <v>-3.0334569693196789</v>
      </c>
      <c r="N566" s="1190">
        <v>-8.1790431814499112</v>
      </c>
      <c r="O566" s="1190">
        <v>6.5003486480204433</v>
      </c>
      <c r="P566" s="1190">
        <v>5.215199689802267</v>
      </c>
      <c r="R566" s="230"/>
      <c r="S566" s="230"/>
      <c r="T566" s="230"/>
      <c r="U566" s="230"/>
      <c r="V566" s="230"/>
      <c r="W566" s="230"/>
      <c r="X566" s="230"/>
      <c r="Y566" s="230"/>
      <c r="Z566" s="230"/>
      <c r="AA566" s="230"/>
      <c r="AB566" s="230"/>
      <c r="AC566" s="230"/>
      <c r="AD566" s="417"/>
      <c r="AE566" s="417"/>
      <c r="AF566" s="417"/>
      <c r="AG566" s="417"/>
      <c r="AH566" s="417"/>
      <c r="AI566" s="417"/>
      <c r="AJ566" s="417"/>
      <c r="AK566" s="417"/>
      <c r="AL566" s="417"/>
      <c r="AM566" s="417"/>
      <c r="AN566" s="417"/>
      <c r="AO566" s="417"/>
      <c r="AP566" s="171"/>
    </row>
    <row r="567" spans="3:42" ht="15" customHeight="1">
      <c r="C567" s="1050"/>
      <c r="D567" s="172" t="str">
        <f>IF(Indice_index!$Z$1=1,"junho","June")</f>
        <v>junho</v>
      </c>
      <c r="E567" s="1191">
        <v>-13.609072715143428</v>
      </c>
      <c r="F567" s="1191">
        <v>24.719101123595504</v>
      </c>
      <c r="G567" s="1191">
        <v>7.9768786127167628</v>
      </c>
      <c r="H567" s="1191">
        <v>-4.6066041581736643</v>
      </c>
      <c r="I567" s="1191">
        <v>-17.197924388435879</v>
      </c>
      <c r="J567" s="1191">
        <v>-8.0579048029668616</v>
      </c>
      <c r="K567" s="1191">
        <v>25.44285058084273</v>
      </c>
      <c r="L567" s="1191">
        <v>9.7923334781002129</v>
      </c>
      <c r="M567" s="1191">
        <v>-3.169834198033282</v>
      </c>
      <c r="N567" s="1191">
        <v>-19.66870692142265</v>
      </c>
      <c r="O567" s="1191">
        <v>5.8999676270637824</v>
      </c>
      <c r="P567" s="1191">
        <v>1.6955468604434336</v>
      </c>
      <c r="R567" s="230"/>
      <c r="S567" s="230"/>
      <c r="T567" s="230"/>
      <c r="U567" s="230"/>
      <c r="V567" s="230"/>
      <c r="W567" s="230"/>
      <c r="X567" s="230"/>
      <c r="Y567" s="230"/>
      <c r="Z567" s="230"/>
      <c r="AA567" s="230"/>
      <c r="AB567" s="230"/>
      <c r="AC567" s="230"/>
    </row>
    <row r="568" spans="3:42" ht="15" customHeight="1">
      <c r="C568" s="1050"/>
      <c r="D568" s="172" t="str">
        <f>IF(Indice_index!$Z$1=1,"julho","July")</f>
        <v>julho</v>
      </c>
      <c r="E568" s="1192">
        <v>6.6115702479338845</v>
      </c>
      <c r="F568" s="1192">
        <v>84.482758620689651</v>
      </c>
      <c r="G568" s="1192">
        <v>-17.222820236813778</v>
      </c>
      <c r="H568" s="1192">
        <v>-0.61500615006150061</v>
      </c>
      <c r="I568" s="1192">
        <v>0</v>
      </c>
      <c r="J568" s="1192">
        <v>5.0085718424355763</v>
      </c>
      <c r="K568" s="1192">
        <v>87.175888936439208</v>
      </c>
      <c r="L568" s="1192">
        <v>-27.947730603627512</v>
      </c>
      <c r="M568" s="1192">
        <v>0.20488227365179362</v>
      </c>
      <c r="N568" s="1192">
        <v>5.1803294521605645</v>
      </c>
      <c r="O568" s="1192">
        <v>-1.6581632653061156</v>
      </c>
      <c r="P568" s="1192">
        <v>-12.962962962962965</v>
      </c>
      <c r="R568" s="230"/>
      <c r="S568" s="230"/>
      <c r="T568" s="230"/>
      <c r="U568" s="230"/>
      <c r="V568" s="230"/>
      <c r="W568" s="230"/>
      <c r="X568" s="230"/>
      <c r="Y568" s="230"/>
      <c r="Z568" s="230"/>
      <c r="AA568" s="230"/>
      <c r="AB568" s="230"/>
      <c r="AC568" s="230"/>
    </row>
    <row r="569" spans="3:42" ht="15" customHeight="1">
      <c r="C569" s="1050"/>
      <c r="D569" s="172" t="str">
        <f>IF(Indice_index!$Z$1=1,"agosto","August")</f>
        <v>agosto</v>
      </c>
      <c r="E569" s="1193">
        <v>1.0884353741496597</v>
      </c>
      <c r="F569" s="1193">
        <v>250</v>
      </c>
      <c r="G569" s="1193">
        <v>-13.700000000000001</v>
      </c>
      <c r="H569" s="1193">
        <v>-1.2370311252992818</v>
      </c>
      <c r="I569" s="1193">
        <v>-9.4178082191780828</v>
      </c>
      <c r="J569" s="1193">
        <v>1.1528777438475686</v>
      </c>
      <c r="K569" s="1193">
        <v>284.5793446017957</v>
      </c>
      <c r="L569" s="1193">
        <v>-15.542383367587629</v>
      </c>
      <c r="M569" s="1193">
        <v>1.6462628904625347</v>
      </c>
      <c r="N569" s="1193">
        <v>-9.4192375120917387</v>
      </c>
      <c r="O569" s="1193">
        <v>-0.38579639398471494</v>
      </c>
      <c r="P569" s="1193">
        <v>-2.1268925739004967</v>
      </c>
      <c r="X569" s="229"/>
      <c r="Y569" s="229"/>
      <c r="Z569" s="229"/>
      <c r="AA569" s="229"/>
    </row>
    <row r="570" spans="3:42" s="171" customFormat="1" ht="15" customHeight="1">
      <c r="C570" s="1050"/>
      <c r="D570" s="172" t="str">
        <f>IF(Indice_index!$Z$1=1,"setembro","September")</f>
        <v>setembro</v>
      </c>
      <c r="E570" s="1194">
        <v>-9.3323216995447638</v>
      </c>
      <c r="F570" s="1194">
        <v>203.44827586206895</v>
      </c>
      <c r="G570" s="1194">
        <v>-5.8214747736093138</v>
      </c>
      <c r="H570" s="1194">
        <v>-5.1415094339622645</v>
      </c>
      <c r="I570" s="1194">
        <v>-11.067193675889328</v>
      </c>
      <c r="J570" s="1194">
        <v>-12.809356610489218</v>
      </c>
      <c r="K570" s="1194">
        <v>140.93232406620285</v>
      </c>
      <c r="L570" s="1194">
        <v>-9.7409309505205357</v>
      </c>
      <c r="M570" s="1194">
        <v>-9.895767217684762</v>
      </c>
      <c r="N570" s="1194">
        <v>-3.3772702929630589</v>
      </c>
      <c r="O570" s="1194">
        <v>-5.4364669421487637</v>
      </c>
      <c r="P570" s="1194">
        <v>-4.1591968447472096</v>
      </c>
      <c r="R570" s="229"/>
      <c r="S570" s="229"/>
      <c r="T570" s="229"/>
      <c r="U570" s="229"/>
      <c r="V570" s="229"/>
      <c r="W570" s="229"/>
      <c r="X570" s="229"/>
      <c r="Y570" s="229"/>
      <c r="Z570" s="229"/>
      <c r="AA570" s="229"/>
      <c r="AB570" s="229"/>
      <c r="AC570" s="229"/>
    </row>
    <row r="571" spans="3:42" s="171" customFormat="1" ht="15" customHeight="1">
      <c r="C571" s="1050"/>
      <c r="D571" s="172" t="str">
        <f>IF(Indice_index!$Z$1=1,"outubro","October")</f>
        <v>outubro</v>
      </c>
      <c r="E571" s="1185">
        <v>4.9751243781094532</v>
      </c>
      <c r="F571" s="1185">
        <v>270.37037037037038</v>
      </c>
      <c r="G571" s="1185">
        <v>-20.181112548512289</v>
      </c>
      <c r="H571" s="1185">
        <v>-1.1465603190428715</v>
      </c>
      <c r="I571" s="1185">
        <v>5.0390964378801044</v>
      </c>
      <c r="J571" s="1185">
        <v>-6.0763421714063153</v>
      </c>
      <c r="K571" s="1185">
        <v>194.01323091652299</v>
      </c>
      <c r="L571" s="1185">
        <v>-25.297590254874684</v>
      </c>
      <c r="M571" s="1185">
        <v>-5.9955164390096174</v>
      </c>
      <c r="N571" s="1185">
        <v>0.9546927428930112</v>
      </c>
      <c r="O571" s="1185">
        <v>-11.072640868974876</v>
      </c>
      <c r="P571" s="1185">
        <v>-6.4081558346986949</v>
      </c>
      <c r="R571" s="229"/>
      <c r="S571" s="229"/>
      <c r="T571" s="229"/>
      <c r="U571" s="229"/>
      <c r="V571" s="229"/>
      <c r="W571" s="229"/>
      <c r="X571" s="229"/>
      <c r="Y571" s="229"/>
      <c r="Z571" s="229"/>
      <c r="AA571" s="229"/>
      <c r="AB571" s="229"/>
      <c r="AC571" s="229"/>
    </row>
    <row r="572" spans="3:42" s="171" customFormat="1" ht="15" customHeight="1">
      <c r="C572" s="1050"/>
      <c r="D572" s="172" t="str">
        <f>IF(Indice_index!$Z$1=1,"novembro","November")</f>
        <v>novembro</v>
      </c>
      <c r="E572" s="1186">
        <v>6.4806480648064806</v>
      </c>
      <c r="F572" s="1186">
        <v>19.767441860465116</v>
      </c>
      <c r="G572" s="1186">
        <v>-8.2663605051664764</v>
      </c>
      <c r="H572" s="1186">
        <v>0.82205029013539643</v>
      </c>
      <c r="I572" s="1186">
        <v>0.34423407917383825</v>
      </c>
      <c r="J572" s="1186">
        <v>-9.690802327995101</v>
      </c>
      <c r="K572" s="1186">
        <v>27.931887816267697</v>
      </c>
      <c r="L572" s="1186">
        <v>2.9603281138616149</v>
      </c>
      <c r="M572" s="1186">
        <v>-5.600200726058632</v>
      </c>
      <c r="N572" s="1186">
        <v>0.9995907799451953</v>
      </c>
      <c r="O572" s="1186">
        <v>-14.036321780278808</v>
      </c>
      <c r="P572" s="1186">
        <v>12.225034066575812</v>
      </c>
      <c r="R572" s="229"/>
      <c r="S572" s="229"/>
      <c r="T572" s="229"/>
      <c r="U572" s="229"/>
      <c r="V572" s="229"/>
      <c r="W572" s="229"/>
      <c r="X572" s="229"/>
      <c r="Y572" s="229"/>
      <c r="Z572" s="229"/>
      <c r="AA572" s="229"/>
      <c r="AB572" s="229"/>
      <c r="AC572" s="229"/>
    </row>
    <row r="573" spans="3:42" s="171" customFormat="1" ht="15" customHeight="1">
      <c r="C573" s="1050"/>
      <c r="D573" s="172" t="str">
        <f>IF(Indice_index!$Z$1=1,"dezembro","December")</f>
        <v>dezembro</v>
      </c>
      <c r="E573" s="1195">
        <v>19.01608325449385</v>
      </c>
      <c r="F573" s="1195">
        <v>-18.867924528301888</v>
      </c>
      <c r="G573" s="1195">
        <v>-10.123734533183352</v>
      </c>
      <c r="H573" s="1195">
        <v>4.4346978557504872</v>
      </c>
      <c r="I573" s="1195">
        <v>-10.170807453416149</v>
      </c>
      <c r="J573" s="1195">
        <v>-7.0280443294290809</v>
      </c>
      <c r="K573" s="1195">
        <v>-18.226872590732171</v>
      </c>
      <c r="L573" s="1195">
        <v>-9.4014733085164384</v>
      </c>
      <c r="M573" s="1195">
        <v>-8.052363887392282</v>
      </c>
      <c r="N573" s="1195">
        <v>-6.4650862252319223</v>
      </c>
      <c r="O573" s="1195">
        <v>-20.150636619044779</v>
      </c>
      <c r="P573" s="1195">
        <v>0.81780144541652111</v>
      </c>
      <c r="R573" s="229"/>
      <c r="S573" s="229"/>
      <c r="T573" s="229"/>
      <c r="U573" s="229"/>
      <c r="V573" s="229"/>
      <c r="W573" s="229"/>
      <c r="X573" s="229"/>
      <c r="Y573" s="229"/>
      <c r="Z573" s="229"/>
      <c r="AA573" s="229"/>
      <c r="AB573" s="229"/>
      <c r="AC573" s="229"/>
    </row>
    <row r="574" spans="3:42" ht="15" customHeight="1">
      <c r="C574" s="1188" t="s">
        <v>73</v>
      </c>
      <c r="D574" s="171"/>
      <c r="E574" s="1127"/>
      <c r="F574" s="1127"/>
      <c r="G574" s="1127"/>
      <c r="H574" s="1127"/>
      <c r="I574" s="1127"/>
      <c r="J574" s="1127"/>
      <c r="K574" s="1127"/>
      <c r="L574" s="1127"/>
      <c r="N574" s="1127"/>
      <c r="O574" s="1127"/>
      <c r="P574" s="1127"/>
      <c r="R574" s="230"/>
      <c r="S574" s="230"/>
      <c r="T574" s="230"/>
      <c r="U574" s="230"/>
      <c r="V574" s="230"/>
      <c r="W574" s="230"/>
      <c r="X574" s="230"/>
      <c r="Y574" s="230"/>
      <c r="Z574" s="230"/>
      <c r="AA574" s="230"/>
      <c r="AB574" s="230"/>
      <c r="AC574" s="230"/>
    </row>
    <row r="575" spans="3:42" s="171" customFormat="1" ht="15" customHeight="1">
      <c r="C575" s="1050"/>
      <c r="D575" s="172" t="str">
        <f>IF(Indice_index!$Z$1=1,"janeiro","January")</f>
        <v>janeiro</v>
      </c>
      <c r="E575" s="1196">
        <v>40.33203125</v>
      </c>
      <c r="F575" s="1196">
        <v>10.344827586206897</v>
      </c>
      <c r="G575" s="1196">
        <v>-8.112094395280236</v>
      </c>
      <c r="H575" s="1196">
        <v>20.514253773057575</v>
      </c>
      <c r="I575" s="1196">
        <v>0.45489006823351025</v>
      </c>
      <c r="J575" s="1196">
        <v>22.305863522315818</v>
      </c>
      <c r="K575" s="1196">
        <v>1.6508153079192049</v>
      </c>
      <c r="L575" s="1196">
        <v>-13.902845481270507</v>
      </c>
      <c r="M575" s="1196">
        <v>14.911728527222698</v>
      </c>
      <c r="N575" s="1196">
        <v>4.814647640107542</v>
      </c>
      <c r="O575" s="1196">
        <v>-12.258681108633329</v>
      </c>
      <c r="P575" s="1196">
        <v>-6.2943423685646742</v>
      </c>
      <c r="R575" s="230"/>
      <c r="S575" s="230"/>
      <c r="T575" s="230"/>
      <c r="U575" s="230"/>
      <c r="V575" s="230"/>
      <c r="W575" s="230"/>
      <c r="X575" s="230"/>
      <c r="Y575" s="230"/>
      <c r="Z575" s="230"/>
      <c r="AA575" s="230"/>
      <c r="AB575" s="230"/>
      <c r="AC575" s="230"/>
      <c r="AD575" s="417"/>
      <c r="AE575" s="417"/>
      <c r="AF575" s="417"/>
      <c r="AG575" s="417"/>
      <c r="AH575" s="417"/>
      <c r="AI575" s="417"/>
      <c r="AJ575" s="417"/>
      <c r="AK575" s="417"/>
      <c r="AL575" s="417"/>
      <c r="AM575" s="417"/>
      <c r="AN575" s="417"/>
      <c r="AO575" s="417"/>
    </row>
    <row r="576" spans="3:42" s="171" customFormat="1" ht="15" customHeight="1">
      <c r="C576" s="1050"/>
      <c r="D576" s="172" t="str">
        <f>IF(Indice_index!$Z$1=1,"fevereiro","February")</f>
        <v>fevereiro</v>
      </c>
      <c r="E576" s="1197">
        <v>51.415628539071342</v>
      </c>
      <c r="F576" s="1197">
        <v>-48.514851485148512</v>
      </c>
      <c r="G576" s="1197">
        <v>-16.746411483253588</v>
      </c>
      <c r="H576" s="1197">
        <v>14.560439560439562</v>
      </c>
      <c r="I576" s="1197">
        <v>-10.786650774731823</v>
      </c>
      <c r="J576" s="1197">
        <v>45.549798815759672</v>
      </c>
      <c r="K576" s="1197">
        <v>-34.053268290232694</v>
      </c>
      <c r="L576" s="1197">
        <v>-11.666590267175669</v>
      </c>
      <c r="M576" s="1197">
        <v>27.194810628425365</v>
      </c>
      <c r="N576" s="1197">
        <v>-10.82566351975551</v>
      </c>
      <c r="O576" s="1197">
        <v>-0.90953613657034915</v>
      </c>
      <c r="P576" s="1198">
        <v>6.1042274052478138</v>
      </c>
      <c r="R576" s="230"/>
      <c r="S576" s="230"/>
      <c r="T576" s="230"/>
      <c r="U576" s="230"/>
      <c r="V576" s="230"/>
      <c r="W576" s="230"/>
      <c r="X576" s="230"/>
      <c r="Y576" s="230"/>
      <c r="Z576" s="230"/>
      <c r="AA576" s="230"/>
      <c r="AB576" s="230"/>
      <c r="AC576" s="230"/>
      <c r="AD576" s="417"/>
      <c r="AE576" s="417"/>
      <c r="AF576" s="417"/>
      <c r="AG576" s="417"/>
      <c r="AH576" s="417"/>
      <c r="AI576" s="417"/>
      <c r="AJ576" s="417"/>
      <c r="AK576" s="417"/>
      <c r="AL576" s="417"/>
      <c r="AM576" s="417"/>
      <c r="AN576" s="417"/>
      <c r="AO576" s="417"/>
    </row>
    <row r="577" spans="3:42" s="171" customFormat="1" ht="15" customHeight="1">
      <c r="C577" s="1050"/>
      <c r="D577" s="172" t="str">
        <f>IF(Indice_index!$Z$1=1,"março","March")</f>
        <v>março</v>
      </c>
      <c r="E577" s="1199">
        <v>8.7837837837837842</v>
      </c>
      <c r="F577" s="1199">
        <v>-63.513513513513509</v>
      </c>
      <c r="G577" s="1199">
        <v>-30.241187384044526</v>
      </c>
      <c r="H577" s="1199">
        <v>-16.095890410958905</v>
      </c>
      <c r="I577" s="1199">
        <v>-41.455301455301459</v>
      </c>
      <c r="J577" s="1199">
        <v>8.5940753215003394</v>
      </c>
      <c r="K577" s="1199">
        <v>-30.92030818300206</v>
      </c>
      <c r="L577" s="1199">
        <v>-41.223820233966045</v>
      </c>
      <c r="M577" s="1199">
        <v>-6.5820380084581718</v>
      </c>
      <c r="N577" s="1199">
        <v>-39.410469630938792</v>
      </c>
      <c r="O577" s="1199">
        <v>9.9517534384676356</v>
      </c>
      <c r="P577" s="1200">
        <v>-15.746924428822501</v>
      </c>
      <c r="R577" s="230"/>
      <c r="S577" s="230"/>
      <c r="T577" s="230"/>
      <c r="U577" s="230"/>
      <c r="V577" s="230"/>
      <c r="W577" s="230"/>
      <c r="X577" s="230"/>
      <c r="Y577" s="230"/>
      <c r="Z577" s="230"/>
      <c r="AA577" s="230"/>
      <c r="AB577" s="230"/>
      <c r="AC577" s="230"/>
      <c r="AD577" s="417"/>
      <c r="AE577" s="417"/>
      <c r="AF577" s="417"/>
      <c r="AG577" s="417"/>
      <c r="AH577" s="417"/>
      <c r="AI577" s="417"/>
      <c r="AJ577" s="417"/>
      <c r="AK577" s="417"/>
      <c r="AL577" s="417"/>
      <c r="AM577" s="417"/>
      <c r="AN577" s="417"/>
      <c r="AO577" s="417"/>
    </row>
    <row r="578" spans="3:42" ht="15" customHeight="1">
      <c r="C578" s="1050"/>
      <c r="D578" s="172" t="str">
        <f>IF(Indice_index!$Z$1=1,"abril","April")</f>
        <v>abril</v>
      </c>
      <c r="E578" s="1181">
        <v>3.9750584567420111</v>
      </c>
      <c r="F578" s="1181">
        <v>-6.9444444444444446</v>
      </c>
      <c r="G578" s="1181">
        <v>-24.595469255663431</v>
      </c>
      <c r="H578" s="1181">
        <v>-9.95754534928599</v>
      </c>
      <c r="I578" s="1181">
        <v>-27.38821138211382</v>
      </c>
      <c r="J578" s="1181">
        <v>10.23626176330926</v>
      </c>
      <c r="K578" s="1181">
        <v>-0.726983799668946</v>
      </c>
      <c r="L578" s="1181">
        <v>-30.943539529049314</v>
      </c>
      <c r="M578" s="1181">
        <v>-1.383180120779361</v>
      </c>
      <c r="N578" s="1181">
        <v>-27.141627720027167</v>
      </c>
      <c r="O578" s="1181">
        <v>6.2143218440638766</v>
      </c>
      <c r="P578" s="1181">
        <v>-8.4173913043478219</v>
      </c>
      <c r="R578" s="230"/>
      <c r="S578" s="230"/>
      <c r="T578" s="230"/>
      <c r="U578" s="230"/>
      <c r="V578" s="230"/>
      <c r="W578" s="230"/>
      <c r="X578" s="230"/>
      <c r="Y578" s="230"/>
      <c r="Z578" s="230"/>
      <c r="AA578" s="230"/>
      <c r="AB578" s="230"/>
      <c r="AC578" s="230"/>
      <c r="AD578" s="417"/>
      <c r="AE578" s="417"/>
      <c r="AF578" s="417"/>
      <c r="AG578" s="417"/>
      <c r="AH578" s="417"/>
      <c r="AI578" s="417"/>
      <c r="AJ578" s="417"/>
      <c r="AK578" s="417"/>
      <c r="AL578" s="417"/>
      <c r="AM578" s="417"/>
      <c r="AN578" s="417"/>
      <c r="AO578" s="417"/>
      <c r="AP578" s="171"/>
    </row>
    <row r="579" spans="3:42" ht="15" customHeight="1">
      <c r="C579" s="1050"/>
      <c r="D579" s="172" t="str">
        <f>IF(Indice_index!$Z$1=1,"maio","May")</f>
        <v>maio</v>
      </c>
      <c r="E579" s="1190">
        <v>18.807339449541285</v>
      </c>
      <c r="F579" s="1190">
        <v>-30</v>
      </c>
      <c r="G579" s="1190">
        <v>-20.821114369501466</v>
      </c>
      <c r="H579" s="1190">
        <v>0</v>
      </c>
      <c r="I579" s="1190">
        <v>7.9491255961844196</v>
      </c>
      <c r="J579" s="1190">
        <v>38.494988235755002</v>
      </c>
      <c r="K579" s="1190">
        <v>-35.02629038086301</v>
      </c>
      <c r="L579" s="1190">
        <v>-17.264874383035178</v>
      </c>
      <c r="M579" s="1190">
        <v>22.220851039469331</v>
      </c>
      <c r="N579" s="1190">
        <v>10.554701472596266</v>
      </c>
      <c r="O579" s="1190">
        <v>16.041030117852468</v>
      </c>
      <c r="P579" s="1190">
        <v>4.4960383268840936</v>
      </c>
      <c r="R579" s="230"/>
      <c r="S579" s="230"/>
      <c r="T579" s="230"/>
      <c r="U579" s="230"/>
      <c r="V579" s="230"/>
      <c r="W579" s="230"/>
      <c r="X579" s="230"/>
      <c r="Y579" s="230"/>
      <c r="Z579" s="230"/>
      <c r="AA579" s="230"/>
      <c r="AB579" s="230"/>
      <c r="AC579" s="230"/>
      <c r="AD579" s="417"/>
      <c r="AE579" s="417"/>
      <c r="AF579" s="417"/>
      <c r="AG579" s="417"/>
      <c r="AH579" s="417"/>
      <c r="AI579" s="417"/>
      <c r="AJ579" s="417"/>
      <c r="AK579" s="417"/>
      <c r="AL579" s="417"/>
      <c r="AM579" s="417"/>
      <c r="AN579" s="417"/>
      <c r="AO579" s="417"/>
      <c r="AP579" s="171"/>
    </row>
    <row r="580" spans="3:42" ht="15" customHeight="1">
      <c r="C580" s="1050"/>
      <c r="D580" s="172" t="str">
        <f>IF(Indice_index!$Z$1=1,"junho","June")</f>
        <v>junho</v>
      </c>
      <c r="E580" s="1191">
        <v>23.243243243243246</v>
      </c>
      <c r="F580" s="1191">
        <v>-12.612612612612612</v>
      </c>
      <c r="G580" s="1191">
        <v>-10.492505353319057</v>
      </c>
      <c r="H580" s="1191">
        <v>8.0769230769230766</v>
      </c>
      <c r="I580" s="1191">
        <v>18.263205013428827</v>
      </c>
      <c r="J580" s="1191">
        <v>54.366247694733858</v>
      </c>
      <c r="K580" s="1191">
        <v>-18.612591684026185</v>
      </c>
      <c r="L580" s="1191">
        <v>-10.771702382327014</v>
      </c>
      <c r="M580" s="1191">
        <v>36.078310418312739</v>
      </c>
      <c r="N580" s="1191">
        <v>23.857149090524139</v>
      </c>
      <c r="O580" s="1191">
        <v>23.790599923576611</v>
      </c>
      <c r="P580" s="1191">
        <v>-0.3114694027116035</v>
      </c>
      <c r="R580" s="230"/>
      <c r="S580" s="230"/>
      <c r="T580" s="230"/>
      <c r="U580" s="230"/>
      <c r="V580" s="230"/>
      <c r="W580" s="230"/>
      <c r="X580" s="230"/>
      <c r="Y580" s="230"/>
      <c r="Z580" s="230"/>
      <c r="AA580" s="230"/>
      <c r="AB580" s="230"/>
      <c r="AC580" s="230"/>
    </row>
    <row r="581" spans="3:42" ht="15" customHeight="1">
      <c r="C581" s="1050"/>
      <c r="D581" s="172" t="str">
        <f>IF(Indice_index!$Z$1=1,"julho","July")</f>
        <v>julho</v>
      </c>
      <c r="E581" s="1192">
        <v>-30.87855297157623</v>
      </c>
      <c r="F581" s="1192">
        <v>-25.233644859813083</v>
      </c>
      <c r="G581" s="1192">
        <v>-10.273081924577374</v>
      </c>
      <c r="H581" s="1192">
        <v>-24.092409240924091</v>
      </c>
      <c r="I581" s="1192">
        <v>13.936651583710407</v>
      </c>
      <c r="J581" s="1192">
        <v>-16.557965022558076</v>
      </c>
      <c r="K581" s="1192">
        <v>-26.381531179405748</v>
      </c>
      <c r="L581" s="1192">
        <v>-4.3492300729846729</v>
      </c>
      <c r="M581" s="1192">
        <v>-15.184254271403594</v>
      </c>
      <c r="N581" s="1192">
        <v>11.071876292484903</v>
      </c>
      <c r="O581" s="1192">
        <v>19.256885633630873</v>
      </c>
      <c r="P581" s="1192">
        <v>6.6193853427896023</v>
      </c>
      <c r="R581" s="230"/>
      <c r="S581" s="230"/>
      <c r="T581" s="230"/>
      <c r="U581" s="230"/>
      <c r="V581" s="230"/>
      <c r="W581" s="230"/>
      <c r="X581" s="230"/>
      <c r="Y581" s="230"/>
      <c r="Z581" s="230"/>
      <c r="AA581" s="230"/>
      <c r="AB581" s="230"/>
      <c r="AC581" s="230"/>
    </row>
    <row r="582" spans="3:42" ht="15" customHeight="1">
      <c r="C582" s="1050"/>
      <c r="D582" s="172" t="str">
        <f>IF(Indice_index!$Z$1=1,"agosto","August")</f>
        <v>agosto</v>
      </c>
      <c r="E582" s="1193">
        <v>-21.534320323014803</v>
      </c>
      <c r="F582" s="1193">
        <v>-36.507936507936506</v>
      </c>
      <c r="G582" s="1193">
        <v>-10.196987253765933</v>
      </c>
      <c r="H582" s="1193">
        <v>-18.343434343434343</v>
      </c>
      <c r="I582" s="1193">
        <v>29.017013232514177</v>
      </c>
      <c r="J582" s="1193">
        <v>-0.51099783583984504</v>
      </c>
      <c r="K582" s="1193">
        <v>-39.274236561710566</v>
      </c>
      <c r="L582" s="1193">
        <v>-2.673506885388639</v>
      </c>
      <c r="M582" s="1193">
        <v>-3.1128428435897515</v>
      </c>
      <c r="N582" s="1193">
        <v>36.404253231242009</v>
      </c>
      <c r="O582" s="1193">
        <v>25.221308883970906</v>
      </c>
      <c r="P582" s="1193">
        <v>8.3793738489871075</v>
      </c>
      <c r="X582" s="229"/>
      <c r="Y582" s="229"/>
      <c r="Z582" s="229"/>
      <c r="AA582" s="229"/>
    </row>
    <row r="583" spans="3:42" s="171" customFormat="1" ht="15" customHeight="1">
      <c r="C583" s="1050"/>
      <c r="D583" s="172" t="str">
        <f>IF(Indice_index!$Z$1=1,"setembro","September")</f>
        <v>setembro</v>
      </c>
      <c r="E583" s="1201">
        <v>11.631799163179917</v>
      </c>
      <c r="F583" s="1201">
        <v>0</v>
      </c>
      <c r="G583" s="1201">
        <v>15.384615384615385</v>
      </c>
      <c r="H583" s="1201">
        <v>12.481352560914969</v>
      </c>
      <c r="I583" s="1201">
        <v>15.37777777777778</v>
      </c>
      <c r="J583" s="1201">
        <v>23.445396569347331</v>
      </c>
      <c r="K583" s="1201">
        <v>19.337407913023544</v>
      </c>
      <c r="L583" s="1201">
        <v>8.998576602709484</v>
      </c>
      <c r="M583" s="1201">
        <v>20.796074168410534</v>
      </c>
      <c r="N583" s="1201">
        <v>10.053629495858649</v>
      </c>
      <c r="O583" s="1201">
        <v>11.190768810596758</v>
      </c>
      <c r="P583" s="1202">
        <v>-5.5368499812944298</v>
      </c>
      <c r="R583" s="229"/>
      <c r="S583" s="229"/>
      <c r="T583" s="229"/>
      <c r="U583" s="229"/>
      <c r="V583" s="229"/>
      <c r="W583" s="229"/>
      <c r="X583" s="229"/>
      <c r="Y583" s="229"/>
      <c r="Z583" s="229"/>
      <c r="AA583" s="229"/>
      <c r="AB583" s="229"/>
      <c r="AC583" s="229"/>
    </row>
    <row r="584" spans="3:42" s="171" customFormat="1" ht="15" customHeight="1">
      <c r="C584" s="1050"/>
      <c r="D584" s="172" t="str">
        <f>IF(Indice_index!$Z$1=1,"outubro","October")</f>
        <v>outubro</v>
      </c>
      <c r="E584" s="1185">
        <v>6.8720379146919433</v>
      </c>
      <c r="F584" s="1185">
        <v>-28.000000000000004</v>
      </c>
      <c r="G584" s="1185">
        <v>26.742301458670987</v>
      </c>
      <c r="H584" s="1185">
        <v>11.29601613716591</v>
      </c>
      <c r="I584" s="1185">
        <v>4.8800661703887513</v>
      </c>
      <c r="J584" s="1185">
        <v>31.487891891253621</v>
      </c>
      <c r="K584" s="1185">
        <v>-25.111854241096804</v>
      </c>
      <c r="L584" s="1185">
        <v>21.328674503232854</v>
      </c>
      <c r="M584" s="1185">
        <v>26.664178590580928</v>
      </c>
      <c r="N584" s="1185">
        <v>9.7256432305006459</v>
      </c>
      <c r="O584" s="1185">
        <v>22.329948851057331</v>
      </c>
      <c r="P584" s="1185">
        <v>-4.2598716203073392</v>
      </c>
      <c r="R584" s="229"/>
      <c r="S584" s="229"/>
      <c r="T584" s="229"/>
      <c r="U584" s="229"/>
      <c r="V584" s="229"/>
      <c r="W584" s="229"/>
      <c r="X584" s="229"/>
      <c r="Y584" s="229"/>
      <c r="Z584" s="229"/>
      <c r="AA584" s="229"/>
      <c r="AB584" s="229"/>
      <c r="AC584" s="229"/>
    </row>
    <row r="585" spans="3:42" s="171" customFormat="1" ht="15" customHeight="1">
      <c r="C585" s="1050"/>
      <c r="D585" s="172" t="str">
        <f>IF(Indice_index!$Z$1=1,"novembro","November")</f>
        <v>novembro</v>
      </c>
      <c r="E585" s="1203">
        <v>-6.3398140321217236</v>
      </c>
      <c r="F585" s="1203">
        <v>-31.067961165048541</v>
      </c>
      <c r="G585" s="1203">
        <v>8.8861076345431798</v>
      </c>
      <c r="H585" s="1203">
        <v>-1.7266187050359711</v>
      </c>
      <c r="I585" s="1203">
        <v>-0.34305317324185247</v>
      </c>
      <c r="J585" s="1203">
        <v>7.263631800449426</v>
      </c>
      <c r="K585" s="1203">
        <v>-39.687454326578397</v>
      </c>
      <c r="L585" s="1203">
        <v>10.715952594147577</v>
      </c>
      <c r="M585" s="1203">
        <v>5.1992948307433275</v>
      </c>
      <c r="N585" s="1203">
        <v>3.2225717285958813</v>
      </c>
      <c r="O585" s="1203">
        <v>13.14438741352377</v>
      </c>
      <c r="P585" s="1204">
        <v>1.6825672159583773</v>
      </c>
      <c r="R585" s="229"/>
      <c r="S585" s="229"/>
      <c r="T585" s="229"/>
      <c r="U585" s="229"/>
      <c r="V585" s="229"/>
      <c r="W585" s="229"/>
      <c r="X585" s="229"/>
      <c r="Y585" s="229"/>
      <c r="Z585" s="229"/>
      <c r="AA585" s="229"/>
      <c r="AB585" s="229"/>
      <c r="AC585" s="229"/>
    </row>
    <row r="586" spans="3:42" s="171" customFormat="1" ht="15" customHeight="1">
      <c r="C586" s="1050"/>
      <c r="D586" s="172" t="str">
        <f>IF(Indice_index!$Z$1=1,"dezembro","December")</f>
        <v>dezembro</v>
      </c>
      <c r="E586" s="1195">
        <v>25.039745627980921</v>
      </c>
      <c r="F586" s="1195">
        <v>1.1627906976744187</v>
      </c>
      <c r="G586" s="1195">
        <v>12.891113892365457</v>
      </c>
      <c r="H586" s="1195">
        <v>19.552029864675688</v>
      </c>
      <c r="I586" s="1195">
        <v>8.124459809853068</v>
      </c>
      <c r="J586" s="1195">
        <v>46.50615451064585</v>
      </c>
      <c r="K586" s="1195">
        <v>-3.622085999598474</v>
      </c>
      <c r="L586" s="1195">
        <v>21.668831710512588</v>
      </c>
      <c r="M586" s="1195">
        <v>39.517858909820404</v>
      </c>
      <c r="N586" s="1195">
        <v>6.5292920541598747</v>
      </c>
      <c r="O586" s="1195">
        <v>16.364725258272209</v>
      </c>
      <c r="P586" s="1195">
        <v>7.7721184682135318</v>
      </c>
      <c r="R586" s="229"/>
      <c r="S586" s="229"/>
      <c r="T586" s="229"/>
      <c r="U586" s="229"/>
      <c r="V586" s="229"/>
      <c r="W586" s="229"/>
      <c r="X586" s="229"/>
      <c r="Y586" s="229"/>
      <c r="Z586" s="229"/>
      <c r="AA586" s="229"/>
      <c r="AB586" s="229"/>
      <c r="AC586" s="229"/>
    </row>
    <row r="587" spans="3:42" ht="3.6" customHeight="1">
      <c r="C587" s="1045"/>
      <c r="D587" s="1046"/>
      <c r="E587" s="1046"/>
      <c r="F587" s="1046"/>
      <c r="G587" s="1046"/>
      <c r="H587" s="1046"/>
      <c r="I587" s="1046"/>
      <c r="J587" s="1046"/>
      <c r="K587" s="1046"/>
      <c r="L587" s="1046"/>
      <c r="M587" s="1046"/>
      <c r="N587" s="1046"/>
      <c r="O587" s="1046"/>
      <c r="P587" s="1046"/>
      <c r="X587" s="229"/>
      <c r="Y587" s="229"/>
      <c r="Z587" s="229"/>
      <c r="AA587" s="229"/>
    </row>
    <row r="588" spans="3:42" ht="15" customHeight="1">
      <c r="C588" s="1205"/>
      <c r="D588" s="171"/>
      <c r="E588" s="1127"/>
      <c r="F588" s="1127"/>
      <c r="G588" s="1127"/>
      <c r="H588" s="1127"/>
      <c r="I588" s="1127"/>
      <c r="J588" s="1127"/>
      <c r="K588" s="1127"/>
      <c r="L588" s="1127"/>
      <c r="M588" s="1127"/>
      <c r="N588" s="1127"/>
      <c r="O588" s="1127"/>
      <c r="P588" s="1127"/>
    </row>
    <row r="589" spans="3:42" ht="5.0999999999999996" customHeight="1">
      <c r="C589" s="1205"/>
    </row>
    <row r="590" spans="3:42" ht="15" customHeight="1">
      <c r="C590" s="1206" t="str">
        <f>IF(Indice_index!$Z$1=1,"Notas:","Notes:")</f>
        <v>Notas:</v>
      </c>
      <c r="L590" s="229"/>
      <c r="M590" s="229"/>
      <c r="N590" s="229"/>
      <c r="O590" s="229"/>
      <c r="P590" s="229"/>
    </row>
    <row r="591" spans="3:42" ht="31.5" customHeight="1">
      <c r="C591" s="1795" t="str">
        <f>IF(Indice_index!$Z$1=1,C594,C595)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91" s="1795"/>
      <c r="E591" s="1795"/>
      <c r="F591" s="1795"/>
      <c r="G591" s="1795"/>
      <c r="H591" s="1795"/>
      <c r="I591" s="1795"/>
      <c r="J591" s="1795"/>
      <c r="K591" s="1795"/>
      <c r="L591" s="1795"/>
      <c r="M591" s="1795"/>
      <c r="N591" s="1795"/>
      <c r="O591" s="1795"/>
      <c r="P591" s="1795"/>
    </row>
    <row r="592" spans="3:42" ht="34.5" customHeight="1">
      <c r="C592" s="1795" t="str">
        <f>IF(Indice_index!$Z$1=1,C596,C597)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92" s="1795"/>
      <c r="E592" s="1795"/>
      <c r="F592" s="1795"/>
      <c r="G592" s="1795"/>
      <c r="H592" s="1795"/>
      <c r="I592" s="1795"/>
      <c r="J592" s="1795"/>
      <c r="K592" s="1795"/>
      <c r="L592" s="1795"/>
      <c r="M592" s="1795"/>
      <c r="N592" s="1795"/>
      <c r="O592" s="1795"/>
      <c r="P592" s="1795"/>
    </row>
    <row r="593" spans="3:27" ht="5.0999999999999996" customHeight="1">
      <c r="C593" s="1205"/>
    </row>
    <row r="594" spans="3:27" s="173" customFormat="1" ht="26.25" hidden="1" customHeight="1">
      <c r="C594" s="1796" t="s">
        <v>57</v>
      </c>
      <c r="D594" s="1796"/>
      <c r="E594" s="1796"/>
      <c r="F594" s="1796"/>
      <c r="G594" s="1796"/>
      <c r="H594" s="1796"/>
      <c r="I594" s="1796"/>
      <c r="J594" s="1796"/>
      <c r="K594" s="1796"/>
      <c r="L594" s="1796"/>
      <c r="M594" s="1796"/>
      <c r="N594" s="1796"/>
      <c r="O594" s="1796"/>
      <c r="P594" s="1796"/>
      <c r="X594" s="103"/>
      <c r="Y594" s="103"/>
      <c r="Z594" s="103"/>
      <c r="AA594" s="174"/>
    </row>
    <row r="595" spans="3:27" s="173" customFormat="1" ht="15" hidden="1" customHeight="1">
      <c r="C595" s="1207" t="s">
        <v>14</v>
      </c>
      <c r="X595" s="103"/>
      <c r="Y595" s="103"/>
      <c r="Z595" s="103"/>
      <c r="AA595" s="174"/>
    </row>
    <row r="596" spans="3:27" s="173" customFormat="1" ht="36.75" hidden="1" customHeight="1">
      <c r="C596" s="1796" t="s">
        <v>55</v>
      </c>
      <c r="D596" s="1796"/>
      <c r="E596" s="1796"/>
      <c r="F596" s="1796"/>
      <c r="G596" s="1796"/>
      <c r="H596" s="1796"/>
      <c r="I596" s="1796"/>
      <c r="J596" s="1796"/>
      <c r="K596" s="1796"/>
      <c r="L596" s="1796"/>
      <c r="M596" s="1796"/>
      <c r="N596" s="1796"/>
      <c r="O596" s="1796"/>
      <c r="P596" s="1796"/>
      <c r="X596" s="103"/>
      <c r="Y596" s="103"/>
      <c r="Z596" s="103"/>
      <c r="AA596" s="174"/>
    </row>
    <row r="597" spans="3:27" s="173" customFormat="1" ht="36.75" hidden="1" customHeight="1">
      <c r="C597" s="1796" t="s">
        <v>56</v>
      </c>
      <c r="D597" s="1796"/>
      <c r="E597" s="1796"/>
      <c r="F597" s="1796"/>
      <c r="G597" s="1796"/>
      <c r="H597" s="1796"/>
      <c r="I597" s="1796"/>
      <c r="J597" s="1796"/>
      <c r="K597" s="1796"/>
      <c r="L597" s="1796"/>
      <c r="M597" s="1796"/>
      <c r="N597" s="1796"/>
      <c r="O597" s="1796"/>
      <c r="P597" s="1796"/>
      <c r="X597" s="103"/>
      <c r="Y597" s="103"/>
      <c r="Z597" s="103"/>
      <c r="AA597" s="174"/>
    </row>
    <row r="598" spans="3:27" ht="15" customHeight="1">
      <c r="C598" s="229" t="str">
        <f>IF(Indice_index!$Z$1=1,"Fonte: Caixa Geral de Aposentações, I.P.","Source: CGA - Public Servants Social Scheme")</f>
        <v>Fonte: Caixa Geral de Aposentações, I.P.</v>
      </c>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3"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5"/>
  <cols>
    <col min="1" max="1" width="1.85546875" style="175" customWidth="1"/>
    <col min="2" max="2" width="4.42578125" style="175" customWidth="1"/>
    <col min="3" max="3" width="77.42578125" style="175" customWidth="1"/>
    <col min="4" max="4" width="8.5703125" style="175" customWidth="1"/>
    <col min="5" max="5" width="19.85546875" style="176" hidden="1" customWidth="1"/>
    <col min="6" max="6" width="2.5703125" style="96" customWidth="1"/>
    <col min="7" max="7" width="10.28515625" style="175" hidden="1" customWidth="1"/>
    <col min="8" max="15" width="8.5703125" style="175" hidden="1" customWidth="1"/>
    <col min="16" max="18" width="8.5703125" style="175" customWidth="1"/>
    <col min="19" max="19" width="8.85546875" style="175" hidden="1" customWidth="1"/>
    <col min="20" max="20" width="10.42578125" style="175" customWidth="1"/>
    <col min="21" max="21" width="2.5703125" style="96" customWidth="1"/>
    <col min="22" max="30" width="8.5703125" style="175" hidden="1" customWidth="1"/>
    <col min="31" max="33" width="8.5703125" style="175" customWidth="1"/>
    <col min="34" max="34" width="10.42578125" style="175" customWidth="1"/>
    <col min="35" max="35" width="10" style="175"/>
    <col min="36" max="36" width="18.85546875" style="233" bestFit="1" customWidth="1"/>
    <col min="37" max="42" width="10" style="233"/>
    <col min="43" max="43" width="10" style="234"/>
    <col min="44" max="63" width="10" style="233"/>
    <col min="64" max="64" width="10" style="412"/>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232"/>
      <c r="D4" s="179"/>
      <c r="E4" s="1233"/>
      <c r="G4" s="1234"/>
      <c r="H4" s="1234"/>
      <c r="I4" s="1234"/>
      <c r="J4" s="1234"/>
      <c r="K4" s="1234"/>
      <c r="L4" s="179"/>
      <c r="M4" s="179"/>
      <c r="N4" s="179"/>
      <c r="O4" s="179"/>
      <c r="P4" s="179"/>
      <c r="Q4" s="179"/>
      <c r="R4" s="179"/>
      <c r="S4" s="179"/>
      <c r="T4" s="1234"/>
      <c r="V4" s="1234"/>
      <c r="W4" s="1234"/>
      <c r="X4" s="1234"/>
      <c r="Y4" s="1234"/>
      <c r="Z4" s="1234"/>
      <c r="AA4" s="179"/>
      <c r="AB4" s="179"/>
      <c r="AC4" s="179"/>
      <c r="AD4" s="179"/>
      <c r="AE4" s="179"/>
      <c r="AF4" s="179"/>
      <c r="AG4" s="179"/>
      <c r="AH4" s="1234" t="str">
        <f>IF(Indice_index!$Z$1=1,"€ Milhões","€ Millions")</f>
        <v>€ Milhões</v>
      </c>
    </row>
    <row r="5" spans="2:64" ht="27" customHeight="1">
      <c r="C5" s="1235"/>
      <c r="D5" s="1235"/>
      <c r="E5" s="1236" t="str">
        <f>IF(Indice_index!$Z$1=1,"Classificação económica","Economic classification")</f>
        <v>Classificação económica</v>
      </c>
      <c r="F5" s="1237"/>
      <c r="G5" s="1805" t="str">
        <f>IF(Indice_index!$Z$1=1,"2021 - mensal e acumulado","2021 - monthly and cumulative")</f>
        <v>2021 - mensal e acumulado</v>
      </c>
      <c r="H5" s="1805" t="s">
        <v>15</v>
      </c>
      <c r="I5" s="1805" t="s">
        <v>15</v>
      </c>
      <c r="J5" s="1805" t="s">
        <v>15</v>
      </c>
      <c r="K5" s="1805" t="s">
        <v>15</v>
      </c>
      <c r="L5" s="1805" t="s">
        <v>15</v>
      </c>
      <c r="M5" s="1805" t="s">
        <v>15</v>
      </c>
      <c r="N5" s="1805" t="s">
        <v>15</v>
      </c>
      <c r="O5" s="1805" t="s">
        <v>15</v>
      </c>
      <c r="P5" s="1805" t="s">
        <v>15</v>
      </c>
      <c r="Q5" s="1805" t="s">
        <v>15</v>
      </c>
      <c r="R5" s="1805" t="s">
        <v>15</v>
      </c>
      <c r="S5" s="1805"/>
      <c r="T5" s="1805" t="s">
        <v>15</v>
      </c>
      <c r="U5" s="1237"/>
      <c r="V5" s="1805" t="str">
        <f>IF(Indice_index!$Z$1=1,"2022 - mensal e acumulado","2022 - monthly and cumulative")</f>
        <v>2022 - mensal e acumulado</v>
      </c>
      <c r="W5" s="1805" t="s">
        <v>15</v>
      </c>
      <c r="X5" s="1805" t="s">
        <v>15</v>
      </c>
      <c r="Y5" s="1805" t="s">
        <v>15</v>
      </c>
      <c r="Z5" s="1805" t="s">
        <v>15</v>
      </c>
      <c r="AA5" s="1805" t="s">
        <v>15</v>
      </c>
      <c r="AB5" s="1805" t="s">
        <v>15</v>
      </c>
      <c r="AC5" s="1805" t="s">
        <v>15</v>
      </c>
      <c r="AD5" s="1805" t="s">
        <v>15</v>
      </c>
      <c r="AE5" s="1805" t="s">
        <v>15</v>
      </c>
      <c r="AF5" s="1805" t="s">
        <v>15</v>
      </c>
      <c r="AG5" s="1805" t="s">
        <v>15</v>
      </c>
      <c r="AH5" s="1805" t="s">
        <v>15</v>
      </c>
    </row>
    <row r="6" spans="2:64" ht="22.35" customHeight="1">
      <c r="C6" s="1235"/>
      <c r="D6" s="1236"/>
      <c r="E6" s="1236"/>
      <c r="G6" s="1236" t="str">
        <f>IF(Indice_index!$Z$1=1,"jan","Jan")</f>
        <v>jan</v>
      </c>
      <c r="H6" s="1236" t="str">
        <f>IF(Indice_index!$Z$1=1,"fev","Feb")</f>
        <v>fev</v>
      </c>
      <c r="I6" s="1236" t="str">
        <f>IF(Indice_index!$Z$1=1,"mar","Mar")</f>
        <v>mar</v>
      </c>
      <c r="J6" s="1236" t="str">
        <f>IF(Indice_index!$Z$1=1,"abr","Apr")</f>
        <v>abr</v>
      </c>
      <c r="K6" s="1236" t="str">
        <f>IF(Indice_index!$Z$1=1,"mai","May")</f>
        <v>mai</v>
      </c>
      <c r="L6" s="1236" t="str">
        <f>IF(Indice_index!$Z$1=1,"jun","Jun")</f>
        <v>jun</v>
      </c>
      <c r="M6" s="1236" t="str">
        <f>IF(Indice_index!$Z$1=1,"jul","Jul")</f>
        <v>jul</v>
      </c>
      <c r="N6" s="1236" t="str">
        <f>IF(Indice_index!$Z$1=1,"ago","Aug")</f>
        <v>ago</v>
      </c>
      <c r="O6" s="1236" t="str">
        <f>IF(Indice_index!$Z$1=1,"set","Sep")</f>
        <v>set</v>
      </c>
      <c r="P6" s="1236" t="str">
        <f>IF(Indice_index!$Z$1=1,"out","Oct")</f>
        <v>out</v>
      </c>
      <c r="Q6" s="1236" t="str">
        <f>IF(Indice_index!$Z$1=1,"nov","Nov")</f>
        <v>nov</v>
      </c>
      <c r="R6" s="1236" t="str">
        <f>IF(Indice_index!$Z$1=1,"dez","Dec")</f>
        <v>dez</v>
      </c>
      <c r="S6" s="1236" t="str">
        <f>IF(Indice_index!$Z$1=1,"Ano até à data","Year to date")</f>
        <v>Ano até à data</v>
      </c>
      <c r="T6" s="1236" t="str">
        <f>IF(Indice_index!$Z$1=1,"Acumulado","Cumulative")</f>
        <v>Acumulado</v>
      </c>
      <c r="V6" s="1236" t="str">
        <f>IF(Indice_index!$Z$1=1,"jan","Jan")</f>
        <v>jan</v>
      </c>
      <c r="W6" s="1236" t="str">
        <f>IF(Indice_index!$Z$1=1,"fev","Feb")</f>
        <v>fev</v>
      </c>
      <c r="X6" s="1236" t="str">
        <f>IF(Indice_index!$Z$1=1,"mar","Mar")</f>
        <v>mar</v>
      </c>
      <c r="Y6" s="1236" t="str">
        <f>IF(Indice_index!$Z$1=1,"abr","Apr")</f>
        <v>abr</v>
      </c>
      <c r="Z6" s="1236" t="str">
        <f>IF(Indice_index!$Z$1=1,"mai","May")</f>
        <v>mai</v>
      </c>
      <c r="AA6" s="1236" t="str">
        <f>IF(Indice_index!$Z$1=1,"jun","Jun")</f>
        <v>jun</v>
      </c>
      <c r="AB6" s="1236" t="str">
        <f>IF(Indice_index!$Z$1=1,"jul","Jul")</f>
        <v>jul</v>
      </c>
      <c r="AC6" s="1236" t="str">
        <f>IF(Indice_index!$Z$1=1,"ago","Aug")</f>
        <v>ago</v>
      </c>
      <c r="AD6" s="1236" t="str">
        <f>IF(Indice_index!$Z$1=1,"set","Sep")</f>
        <v>set</v>
      </c>
      <c r="AE6" s="1236" t="str">
        <f>IF(Indice_index!$Z$1=1,"out","Oct")</f>
        <v>out</v>
      </c>
      <c r="AF6" s="1236" t="str">
        <f>IF(Indice_index!$Z$1=1,"nov","Nov")</f>
        <v>nov</v>
      </c>
      <c r="AG6" s="1236" t="str">
        <f>IF(Indice_index!$Z$1=1,"dez","Dec")</f>
        <v>dez</v>
      </c>
      <c r="AH6" s="1236" t="str">
        <f>IF(Indice_index!$Z$1=1,"Acumulado","Cumulative")</f>
        <v>Acumulado</v>
      </c>
    </row>
    <row r="7" spans="2:64" ht="4.5" customHeight="1">
      <c r="D7" s="1039"/>
      <c r="E7" s="1238"/>
      <c r="G7" s="1238"/>
      <c r="H7" s="1238"/>
      <c r="I7" s="1238"/>
      <c r="J7" s="1238"/>
      <c r="K7" s="1238"/>
      <c r="L7" s="1238"/>
      <c r="M7" s="1238"/>
      <c r="N7" s="1238"/>
      <c r="O7" s="1238"/>
      <c r="P7" s="1238"/>
      <c r="Q7" s="1238"/>
      <c r="R7" s="1238"/>
      <c r="S7" s="1238"/>
      <c r="T7" s="1238"/>
      <c r="V7" s="1238"/>
      <c r="W7" s="1238"/>
      <c r="X7" s="1238"/>
      <c r="Y7" s="1238"/>
      <c r="Z7" s="1238"/>
      <c r="AA7" s="1238"/>
      <c r="AB7" s="1238"/>
      <c r="AC7" s="1238"/>
      <c r="AD7" s="1238"/>
      <c r="AE7" s="1238"/>
      <c r="AF7" s="1238"/>
      <c r="AG7" s="1238"/>
      <c r="AH7" s="1238"/>
    </row>
    <row r="8" spans="2:64" s="317" customFormat="1" ht="15" customHeight="1">
      <c r="C8" s="318" t="str">
        <f>IF(Indice_index!$Z$1=1,"Receita corrente","Current revenue")</f>
        <v>Receita corrente</v>
      </c>
      <c r="D8" s="1239"/>
      <c r="E8" s="1239"/>
      <c r="F8" s="250"/>
      <c r="G8" s="1239">
        <f>+G9+G10+G12+G15+G11</f>
        <v>58.729722030000005</v>
      </c>
      <c r="H8" s="1239">
        <f>+H9+H10+H12+H15+H11</f>
        <v>49.319399959999998</v>
      </c>
      <c r="I8" s="1239">
        <f t="shared" ref="I8:J8" si="0">+I9+I10+I12+I15+I11</f>
        <v>128.68634004999998</v>
      </c>
      <c r="J8" s="1239">
        <f t="shared" si="0"/>
        <v>69.781900579999984</v>
      </c>
      <c r="K8" s="1239">
        <f>+K9+K10+K12+K15+K11</f>
        <v>375.48363393000005</v>
      </c>
      <c r="L8" s="1239">
        <f t="shared" ref="L8:N8" si="1">+L9+L10+L12+L15+L11</f>
        <v>89.418738279999999</v>
      </c>
      <c r="M8" s="1239">
        <f t="shared" si="1"/>
        <v>22.32705601</v>
      </c>
      <c r="N8" s="1239">
        <f t="shared" si="1"/>
        <v>16.159748709999999</v>
      </c>
      <c r="O8" s="1239">
        <f>+O9+O10+O12+O15+O11</f>
        <v>22.437207060000002</v>
      </c>
      <c r="P8" s="1239">
        <f t="shared" ref="P8:R8" si="2">+P9+P10+P12+P15+P11</f>
        <v>74.431590709999995</v>
      </c>
      <c r="Q8" s="1239">
        <f t="shared" si="2"/>
        <v>653.0488730300001</v>
      </c>
      <c r="R8" s="1239">
        <f t="shared" si="2"/>
        <v>552.70443967999995</v>
      </c>
      <c r="S8" s="1239">
        <f>+S9+S10+S12+S15+S11</f>
        <v>2112.5286500299999</v>
      </c>
      <c r="T8" s="1239">
        <f>SUM(G8:R8)</f>
        <v>2112.5286500299999</v>
      </c>
      <c r="U8" s="250"/>
      <c r="V8" s="1239">
        <f>+V9+V10+V12+V15+V11</f>
        <v>81.355944469999997</v>
      </c>
      <c r="W8" s="1239">
        <f t="shared" ref="W8:Y8" si="3">+W9+W10+W12+W15+W11</f>
        <v>49.06931307</v>
      </c>
      <c r="X8" s="1239">
        <f t="shared" si="3"/>
        <v>52.151623739999998</v>
      </c>
      <c r="Y8" s="1239">
        <f t="shared" si="3"/>
        <v>52.417114399999996</v>
      </c>
      <c r="Z8" s="1239">
        <f>+Z9+Z10+Z12+Z15+Z11</f>
        <v>326.45193912000002</v>
      </c>
      <c r="AA8" s="1239">
        <f t="shared" ref="AA8:AC8" si="4">+AA9+AA10+AA12+AA15+AA11</f>
        <v>315.39769131000003</v>
      </c>
      <c r="AB8" s="1239">
        <f t="shared" ref="AB8" si="5">+AB9+AB10+AB12+AB15+AB11</f>
        <v>33.325220420000001</v>
      </c>
      <c r="AC8" s="1239">
        <f t="shared" si="4"/>
        <v>19.32709805</v>
      </c>
      <c r="AD8" s="1239">
        <f>+AD9+AD10+AD12+AD15+AD11</f>
        <v>17.472382710000002</v>
      </c>
      <c r="AE8" s="1239">
        <f t="shared" ref="AE8:AG8" si="6">+AE9+AE10+AE12+AE15+AE11</f>
        <v>124.3039225</v>
      </c>
      <c r="AF8" s="1239">
        <f t="shared" si="6"/>
        <v>428.06828099999996</v>
      </c>
      <c r="AG8" s="1239">
        <f t="shared" si="6"/>
        <v>33.107337560000005</v>
      </c>
      <c r="AH8" s="1239">
        <f>SUM(V8:AG8)</f>
        <v>1532.4478683500001</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3"/>
    </row>
    <row r="9" spans="2:64" s="179" customFormat="1" ht="15" customHeight="1">
      <c r="C9" s="819" t="str">
        <f>IF(Indice_index!$Z$1=1,"Impostos diretos ","Direct taxes")</f>
        <v xml:space="preserve">Impostos diretos </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467.80850744999998</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100.16905783999999</v>
      </c>
      <c r="AF9" s="135">
        <f t="shared" si="8"/>
        <v>395.69546006999997</v>
      </c>
      <c r="AG9" s="135">
        <f t="shared" si="8"/>
        <v>7.9541395399999999</v>
      </c>
      <c r="AH9" s="135">
        <f t="shared" si="8"/>
        <v>503.90834155999994</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2"/>
    </row>
    <row r="10" spans="2:64" s="179" customFormat="1" ht="15" customHeight="1">
      <c r="C10" s="819" t="str">
        <f>IF(Indice_index!$Z$1=1,"Impostos indiretos","Indirect taxes")</f>
        <v>Impostos indiretos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359.17340210000003</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23.446554949999999</v>
      </c>
      <c r="AF10" s="135">
        <f t="shared" si="8"/>
        <v>13.70795064</v>
      </c>
      <c r="AG10" s="135">
        <f t="shared" si="8"/>
        <v>19.705181960000001</v>
      </c>
      <c r="AH10" s="135">
        <f t="shared" si="8"/>
        <v>362.18327769999996</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2"/>
    </row>
    <row r="11" spans="2:64" s="179" customFormat="1" ht="15" customHeight="1">
      <c r="C11" s="989" t="str">
        <f>IF(Indice_index!$Z$1=1,"Contribuições para Segurança Social, CGA e ADSE","Social security, CGA and ADSE contributions")</f>
        <v>Contribuições para Segurança Social, CGA e ADSE</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2"/>
    </row>
    <row r="12" spans="2:64" s="179" customFormat="1" ht="15" customHeight="1">
      <c r="C12" s="819" t="str">
        <f>IF(Indice_index!$Z$1=1,"Transferências Correntes","Current transfers")</f>
        <v>Transferências Correntes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2"/>
    </row>
    <row r="13" spans="2:64" s="179" customFormat="1" ht="15" customHeight="1">
      <c r="C13" s="1240" t="str">
        <f>IF(Indice_index!$Z$1=1,"Administrações Públicas","General Government subsectors")</f>
        <v>Administrações Públicas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2"/>
    </row>
    <row r="14" spans="2:64" s="179" customFormat="1" ht="15" customHeight="1">
      <c r="C14" s="1240" t="str">
        <f>IF(Indice_index!$Z$1=1,"Outras","Others")</f>
        <v>Outras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2"/>
    </row>
    <row r="15" spans="2:64" s="179" customFormat="1" ht="15" customHeight="1">
      <c r="C15" s="819" t="str">
        <f>IF(Indice_index!$Z$1=1,"Outras receitas correntes","Other current revenue")</f>
        <v>Outras receitas correntes</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1285.5467404799999</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0.68830970999999996</v>
      </c>
      <c r="AF15" s="135">
        <f t="shared" si="13"/>
        <v>18.66487029</v>
      </c>
      <c r="AG15" s="135">
        <f t="shared" si="13"/>
        <v>5.4480160600000005</v>
      </c>
      <c r="AH15" s="135">
        <f t="shared" si="13"/>
        <v>666.35624909000001</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2"/>
    </row>
    <row r="16" spans="2:64" s="317" customFormat="1" ht="15" customHeight="1">
      <c r="C16" s="318" t="str">
        <f>IF(Indice_index!$Z$1=1,"Receita de capital","Capital revenue")</f>
        <v>Receita de capital</v>
      </c>
      <c r="D16" s="1239"/>
      <c r="E16" s="1239"/>
      <c r="F16" s="250"/>
      <c r="G16" s="1239">
        <f t="shared" ref="G16:T16" si="14">+G17+G18+G21</f>
        <v>0</v>
      </c>
      <c r="H16" s="1239">
        <f t="shared" si="14"/>
        <v>26.836077</v>
      </c>
      <c r="I16" s="1239">
        <f t="shared" si="14"/>
        <v>0</v>
      </c>
      <c r="J16" s="1239">
        <f t="shared" si="14"/>
        <v>0</v>
      </c>
      <c r="K16" s="1239">
        <f t="shared" si="14"/>
        <v>0</v>
      </c>
      <c r="L16" s="1239">
        <f t="shared" si="14"/>
        <v>0</v>
      </c>
      <c r="M16" s="1239">
        <f t="shared" si="14"/>
        <v>0</v>
      </c>
      <c r="N16" s="1239">
        <f t="shared" si="14"/>
        <v>0</v>
      </c>
      <c r="O16" s="1239">
        <f t="shared" si="14"/>
        <v>0</v>
      </c>
      <c r="P16" s="1239">
        <f t="shared" si="14"/>
        <v>0</v>
      </c>
      <c r="Q16" s="1239">
        <f t="shared" si="14"/>
        <v>0</v>
      </c>
      <c r="R16" s="1239">
        <f t="shared" si="14"/>
        <v>0</v>
      </c>
      <c r="S16" s="1239">
        <f t="shared" si="14"/>
        <v>26.836077</v>
      </c>
      <c r="T16" s="1239">
        <f t="shared" si="14"/>
        <v>26.836077</v>
      </c>
      <c r="U16" s="250"/>
      <c r="V16" s="1239">
        <f t="shared" ref="V16:AH16" si="15">+V17+V18+V21</f>
        <v>0</v>
      </c>
      <c r="W16" s="1239">
        <f t="shared" si="15"/>
        <v>0</v>
      </c>
      <c r="X16" s="1239">
        <f t="shared" si="15"/>
        <v>30</v>
      </c>
      <c r="Y16" s="1239">
        <f t="shared" si="15"/>
        <v>0</v>
      </c>
      <c r="Z16" s="1239">
        <f t="shared" si="15"/>
        <v>0</v>
      </c>
      <c r="AA16" s="1239">
        <f t="shared" si="15"/>
        <v>0</v>
      </c>
      <c r="AB16" s="1239">
        <f t="shared" ref="AB16" si="16">+AB17+AB18+AB21</f>
        <v>0</v>
      </c>
      <c r="AC16" s="1239">
        <f t="shared" si="15"/>
        <v>0</v>
      </c>
      <c r="AD16" s="1239">
        <f t="shared" si="15"/>
        <v>0</v>
      </c>
      <c r="AE16" s="1239">
        <f t="shared" si="15"/>
        <v>0</v>
      </c>
      <c r="AF16" s="1239">
        <f t="shared" si="15"/>
        <v>0</v>
      </c>
      <c r="AG16" s="1239">
        <f t="shared" si="15"/>
        <v>0</v>
      </c>
      <c r="AH16" s="1239">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3"/>
    </row>
    <row r="17" spans="3:64" s="179" customFormat="1" ht="15" customHeight="1">
      <c r="C17" s="819" t="str">
        <f>IF(Indice_index!$Z$1=1,"Venda de bens de investimento","Sale of investment good")</f>
        <v>Venda de bens de investimento</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2"/>
    </row>
    <row r="18" spans="3:64" s="179" customFormat="1" ht="15" customHeight="1">
      <c r="C18" s="819" t="str">
        <f>IF(Indice_index!$Z$1=1,"Transferências de Capital","Capital transfers")</f>
        <v>Transferências de Capital</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2"/>
    </row>
    <row r="19" spans="3:64" s="179" customFormat="1" ht="15" customHeight="1">
      <c r="C19" s="1240" t="str">
        <f>IF(Indice_index!$Z$1=1,"Administrações Públicas","General Government subsectors")</f>
        <v>Administrações Públicas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2"/>
    </row>
    <row r="20" spans="3:64" s="179" customFormat="1" ht="15" customHeight="1">
      <c r="C20" s="1240" t="str">
        <f>IF(Indice_index!$Z$1=1,"Outras","Others")</f>
        <v>Outras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2"/>
    </row>
    <row r="21" spans="3:64" s="179" customFormat="1" ht="15" customHeight="1">
      <c r="C21" s="819" t="str">
        <f>IF(Indice_index!$Z$1=1,"Outras receitas de capital","Other capital revenue")</f>
        <v>Outras receitas de capital</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2"/>
    </row>
    <row r="22" spans="3:64" s="179" customFormat="1" ht="4.5" customHeight="1">
      <c r="C22" s="1241"/>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2"/>
    </row>
    <row r="23" spans="3:64" s="318" customFormat="1" ht="15" customHeight="1">
      <c r="C23" s="1242" t="str">
        <f>IF(Indice_index!$Z$1=1,"Receita efetiva","Effective revenue")</f>
        <v>Receita efetiva</v>
      </c>
      <c r="D23" s="1243"/>
      <c r="E23" s="1244"/>
      <c r="F23" s="250"/>
      <c r="G23" s="1243">
        <f t="shared" ref="G23:T23" si="24">+G8+G16</f>
        <v>58.729722030000005</v>
      </c>
      <c r="H23" s="1244">
        <f t="shared" si="24"/>
        <v>76.155476960000001</v>
      </c>
      <c r="I23" s="1244">
        <f t="shared" si="24"/>
        <v>128.68634004999998</v>
      </c>
      <c r="J23" s="1244">
        <f t="shared" si="24"/>
        <v>69.781900579999984</v>
      </c>
      <c r="K23" s="1244">
        <f t="shared" si="24"/>
        <v>375.48363393000005</v>
      </c>
      <c r="L23" s="1244">
        <f t="shared" si="24"/>
        <v>89.418738279999999</v>
      </c>
      <c r="M23" s="1244">
        <f t="shared" si="24"/>
        <v>22.32705601</v>
      </c>
      <c r="N23" s="1244">
        <f t="shared" si="24"/>
        <v>16.159748709999999</v>
      </c>
      <c r="O23" s="1244">
        <f t="shared" si="24"/>
        <v>22.437207060000002</v>
      </c>
      <c r="P23" s="1244">
        <f t="shared" si="24"/>
        <v>74.431590709999995</v>
      </c>
      <c r="Q23" s="1244">
        <f t="shared" si="24"/>
        <v>653.0488730300001</v>
      </c>
      <c r="R23" s="1244">
        <f t="shared" si="24"/>
        <v>552.70443967999995</v>
      </c>
      <c r="S23" s="1244">
        <f t="shared" si="24"/>
        <v>2139.3647270299998</v>
      </c>
      <c r="T23" s="1243">
        <f t="shared" si="24"/>
        <v>2139.3647270299998</v>
      </c>
      <c r="U23" s="250"/>
      <c r="V23" s="1243">
        <f t="shared" ref="V23:AH23" si="25">+V8+V16</f>
        <v>81.355944469999997</v>
      </c>
      <c r="W23" s="1244">
        <f t="shared" si="25"/>
        <v>49.06931307</v>
      </c>
      <c r="X23" s="1244">
        <f t="shared" si="25"/>
        <v>82.151623739999991</v>
      </c>
      <c r="Y23" s="1244">
        <f t="shared" si="25"/>
        <v>52.417114399999996</v>
      </c>
      <c r="Z23" s="1244">
        <f t="shared" si="25"/>
        <v>326.45193912000002</v>
      </c>
      <c r="AA23" s="1244">
        <f t="shared" si="25"/>
        <v>315.39769131000003</v>
      </c>
      <c r="AB23" s="1244">
        <f t="shared" ref="AB23" si="26">+AB8+AB16</f>
        <v>33.325220420000001</v>
      </c>
      <c r="AC23" s="1244">
        <f t="shared" si="25"/>
        <v>19.32709805</v>
      </c>
      <c r="AD23" s="1244">
        <f t="shared" si="25"/>
        <v>17.472382710000002</v>
      </c>
      <c r="AE23" s="1244">
        <f t="shared" si="25"/>
        <v>124.3039225</v>
      </c>
      <c r="AF23" s="1244">
        <f t="shared" si="25"/>
        <v>428.06828099999996</v>
      </c>
      <c r="AG23" s="1244">
        <f t="shared" si="25"/>
        <v>33.107337560000005</v>
      </c>
      <c r="AH23" s="1243">
        <f t="shared" si="25"/>
        <v>1562.4478683500001</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3"/>
    </row>
    <row r="24" spans="3:64" s="179" customFormat="1" ht="4.5" customHeight="1">
      <c r="C24" s="1241"/>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2"/>
    </row>
    <row r="25" spans="3:64" s="317" customFormat="1" ht="15" customHeight="1">
      <c r="C25" s="318" t="str">
        <f>IF(Indice_index!$Z$1=1,"Despesa corrente","Current expenditure")</f>
        <v>Despesa corrente</v>
      </c>
      <c r="D25" s="1239"/>
      <c r="E25" s="1239"/>
      <c r="F25" s="250"/>
      <c r="G25" s="1239">
        <f t="shared" ref="G25:R25" si="27">+G26+G27+G28+G29+G32+G33</f>
        <v>44.129766109999998</v>
      </c>
      <c r="H25" s="1239">
        <f t="shared" si="27"/>
        <v>0</v>
      </c>
      <c r="I25" s="1239">
        <f t="shared" si="27"/>
        <v>87.3</v>
      </c>
      <c r="J25" s="1239">
        <f t="shared" si="27"/>
        <v>5.8756139999999988</v>
      </c>
      <c r="K25" s="1239">
        <f t="shared" si="27"/>
        <v>0</v>
      </c>
      <c r="L25" s="1239">
        <f t="shared" si="27"/>
        <v>0</v>
      </c>
      <c r="M25" s="1239">
        <f t="shared" si="27"/>
        <v>-270.43729654000003</v>
      </c>
      <c r="N25" s="1239">
        <f t="shared" si="27"/>
        <v>334.63643481999998</v>
      </c>
      <c r="O25" s="1239">
        <f t="shared" si="27"/>
        <v>9.7948094399999945</v>
      </c>
      <c r="P25" s="1239">
        <f t="shared" si="27"/>
        <v>5.8698915900000319</v>
      </c>
      <c r="Q25" s="1239">
        <f t="shared" si="27"/>
        <v>-1.2073909999969601E-2</v>
      </c>
      <c r="R25" s="1239">
        <f t="shared" si="27"/>
        <v>571.33993764000002</v>
      </c>
      <c r="S25" s="1239">
        <f>+S26+S27+S28+S29+S32+S33</f>
        <v>788.49708315000021</v>
      </c>
      <c r="T25" s="1239">
        <f>SUM(G25:R25)</f>
        <v>788.49708314999998</v>
      </c>
      <c r="U25" s="250"/>
      <c r="V25" s="1239">
        <f t="shared" ref="V25:AG25" si="28">+V26+V27+V28+V29+V32+V33</f>
        <v>21.59949417</v>
      </c>
      <c r="W25" s="1239">
        <f t="shared" si="28"/>
        <v>6.1171480000000003</v>
      </c>
      <c r="X25" s="1239">
        <f t="shared" si="28"/>
        <v>1.9571480000000001</v>
      </c>
      <c r="Y25" s="1239">
        <f t="shared" si="28"/>
        <v>1.9571480000000001</v>
      </c>
      <c r="Z25" s="1239">
        <f t="shared" si="28"/>
        <v>1.9571480000000001</v>
      </c>
      <c r="AA25" s="1239">
        <f t="shared" si="28"/>
        <v>1.9571480000000001</v>
      </c>
      <c r="AB25" s="1239">
        <f>+AB26+AB27+AB28+AB29+AB32+AB33</f>
        <v>30.518876999999996</v>
      </c>
      <c r="AC25" s="1239">
        <f t="shared" si="28"/>
        <v>0</v>
      </c>
      <c r="AD25" s="1239">
        <f t="shared" si="28"/>
        <v>0</v>
      </c>
      <c r="AE25" s="1239">
        <f t="shared" si="28"/>
        <v>22.092358000000004</v>
      </c>
      <c r="AF25" s="1239">
        <f t="shared" si="28"/>
        <v>0</v>
      </c>
      <c r="AG25" s="1239">
        <f t="shared" si="28"/>
        <v>1024.7543821199999</v>
      </c>
      <c r="AH25" s="1239">
        <f>SUM(V25:AG25)</f>
        <v>1112.91085129</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3"/>
    </row>
    <row r="26" spans="3:64" s="179" customFormat="1" ht="15" customHeight="1">
      <c r="C26" s="819" t="str">
        <f>IF(Indice_index!$Z$1=1,"Despesas com o pessoal","Employees")</f>
        <v>Despesas com o pessoal</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2"/>
    </row>
    <row r="27" spans="3:64" s="179" customFormat="1" ht="15" customHeight="1">
      <c r="C27" s="819" t="str">
        <f>IF(Indice_index!$Z$1=1,"Aquisição de bens e serviços","Purchase of goods and services")</f>
        <v>Aquisição de bens e serviços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-115.58609199999999</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2"/>
    </row>
    <row r="28" spans="3:64" s="179" customFormat="1" ht="15" customHeight="1">
      <c r="C28" s="819" t="str">
        <f>IF(Indice_index!$Z$1=1,"Juros e outros encargos","Interests and other charges")</f>
        <v>Juros e outros encargos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2"/>
    </row>
    <row r="29" spans="3:64" s="179" customFormat="1" ht="15" customHeight="1">
      <c r="C29" s="819" t="str">
        <f>IF(Indice_index!$Z$1=1,"Transferências Correntes","Current transfers")</f>
        <v>Transferências Correntes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1152.4816575800003</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22.092358000000004</v>
      </c>
      <c r="AF29" s="135">
        <f t="shared" si="32"/>
        <v>0</v>
      </c>
      <c r="AG29" s="135">
        <f t="shared" si="32"/>
        <v>1024.7543821199999</v>
      </c>
      <c r="AH29" s="135">
        <f t="shared" si="32"/>
        <v>1093.2685051200001</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2"/>
    </row>
    <row r="30" spans="3:64" s="179" customFormat="1" ht="15" customHeight="1">
      <c r="C30" s="1240" t="str">
        <f>IF(Indice_index!$Z$1=1,"Administrações Públicas","General Government subsectors")</f>
        <v>Administrações Públicas</v>
      </c>
      <c r="D30" s="135"/>
      <c r="E30" s="135" t="s">
        <v>85</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1054.8416575800002</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14.092358000000004</v>
      </c>
      <c r="AF30" s="135">
        <f t="shared" si="35"/>
        <v>0</v>
      </c>
      <c r="AG30" s="135">
        <f t="shared" si="35"/>
        <v>1024.7543821199999</v>
      </c>
      <c r="AH30" s="135">
        <f t="shared" si="35"/>
        <v>1081.10850512</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2"/>
    </row>
    <row r="31" spans="3:64" s="179" customFormat="1" ht="15" customHeight="1">
      <c r="C31" s="1240" t="str">
        <f>IF(Indice_index!$Z$1=1,"Outras","Others")</f>
        <v>Outras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8</v>
      </c>
      <c r="AF31" s="135">
        <f t="shared" si="35"/>
        <v>0</v>
      </c>
      <c r="AG31" s="135">
        <f t="shared" si="35"/>
        <v>0</v>
      </c>
      <c r="AH31" s="135">
        <f t="shared" si="35"/>
        <v>12.16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2"/>
    </row>
    <row r="32" spans="3:64" s="179" customFormat="1" ht="15" customHeight="1">
      <c r="C32" s="819" t="str">
        <f>IF(Indice_index!$Z$1=1,"Subsídios","Subsidies")</f>
        <v>Subsídios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0</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2"/>
    </row>
    <row r="33" spans="3:64" s="179" customFormat="1" ht="15" customHeight="1">
      <c r="C33" s="819" t="str">
        <f>IF(Indice_index!$Z$1=1,"Outras despesas correntes","Other current expenditure")</f>
        <v>Outras despesas correntes</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0</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2"/>
    </row>
    <row r="34" spans="3:64" s="317" customFormat="1" ht="15" customHeight="1">
      <c r="C34" s="318" t="str">
        <f>IF(Indice_index!$Z$1=1,"Despesa de capital","Capital expenditure")</f>
        <v>Despesa de capital</v>
      </c>
      <c r="D34" s="1239"/>
      <c r="E34" s="1239"/>
      <c r="F34" s="250"/>
      <c r="G34" s="1239">
        <f t="shared" ref="G34:S34" si="36">+G35+G36+G39</f>
        <v>13.88124</v>
      </c>
      <c r="H34" s="1239">
        <f t="shared" si="36"/>
        <v>14.138688</v>
      </c>
      <c r="I34" s="1239">
        <f t="shared" si="36"/>
        <v>13.929066999999996</v>
      </c>
      <c r="J34" s="1239">
        <f t="shared" si="36"/>
        <v>52.205551000000007</v>
      </c>
      <c r="K34" s="1239">
        <f t="shared" si="36"/>
        <v>15.331340999999995</v>
      </c>
      <c r="L34" s="1239">
        <f t="shared" si="36"/>
        <v>332.31218000000001</v>
      </c>
      <c r="M34" s="1239">
        <f t="shared" si="36"/>
        <v>102.70864908</v>
      </c>
      <c r="N34" s="1239">
        <f t="shared" si="36"/>
        <v>15.335550999999995</v>
      </c>
      <c r="O34" s="1239">
        <f t="shared" si="36"/>
        <v>68.196328999999992</v>
      </c>
      <c r="P34" s="1239">
        <f t="shared" si="36"/>
        <v>15.418551000000015</v>
      </c>
      <c r="Q34" s="1239">
        <f t="shared" si="36"/>
        <v>37.195811999999975</v>
      </c>
      <c r="R34" s="1239">
        <f t="shared" si="36"/>
        <v>239.87069623999997</v>
      </c>
      <c r="S34" s="1239">
        <f t="shared" si="36"/>
        <v>920.52365531999999</v>
      </c>
      <c r="T34" s="1239">
        <f t="shared" ref="T34" si="37">SUM(G34:R34)</f>
        <v>920.52365531999999</v>
      </c>
      <c r="U34" s="250"/>
      <c r="V34" s="1239">
        <f t="shared" ref="V34:AG34" si="38">+V35+V36+V39</f>
        <v>15.434491319999999</v>
      </c>
      <c r="W34" s="1239">
        <f t="shared" si="38"/>
        <v>13.88124</v>
      </c>
      <c r="X34" s="1239">
        <f t="shared" si="38"/>
        <v>16.98774264</v>
      </c>
      <c r="Y34" s="1239">
        <f t="shared" si="38"/>
        <v>15.434491319999998</v>
      </c>
      <c r="Z34" s="1239">
        <f t="shared" si="38"/>
        <v>15.389491319999998</v>
      </c>
      <c r="AA34" s="1239">
        <f t="shared" si="38"/>
        <v>15.434491320000005</v>
      </c>
      <c r="AB34" s="1239">
        <f t="shared" ref="AB34" si="39">+AB35+AB36+AB39</f>
        <v>1.5532513200000011</v>
      </c>
      <c r="AC34" s="1239">
        <f t="shared" si="38"/>
        <v>-3.920281680000004</v>
      </c>
      <c r="AD34" s="1239">
        <f t="shared" si="38"/>
        <v>42.928732820000008</v>
      </c>
      <c r="AE34" s="1239">
        <f t="shared" si="38"/>
        <v>-4.1478966800000041</v>
      </c>
      <c r="AF34" s="1239">
        <f t="shared" si="38"/>
        <v>-4.1478966799999988</v>
      </c>
      <c r="AG34" s="1239">
        <f t="shared" si="38"/>
        <v>125.90455931999996</v>
      </c>
      <c r="AH34" s="1239">
        <f>SUM(V34:AG34)</f>
        <v>250.73241633999999</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3"/>
    </row>
    <row r="35" spans="3:64" s="179" customFormat="1" ht="15" customHeight="1">
      <c r="C35" s="819" t="str">
        <f>IF(Indice_index!$Z$1=1,"Investimento","Investments")</f>
        <v>Investimento</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190.50687608000001</v>
      </c>
      <c r="T35" s="135">
        <f t="shared" si="40"/>
        <v>190.50687608000001</v>
      </c>
      <c r="U35" s="96"/>
      <c r="V35" s="135">
        <f t="shared" ref="V35:AH35" si="41">+SUMIF($E$56:$E$86,$E35,V$56:V$86)</f>
        <v>1.55325132</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1.5532513199999993</v>
      </c>
      <c r="AF35" s="135">
        <f t="shared" si="41"/>
        <v>1.5532513200000047</v>
      </c>
      <c r="AG35" s="135">
        <f t="shared" si="41"/>
        <v>1.5532513199999975</v>
      </c>
      <c r="AH35" s="135">
        <f t="shared" si="41"/>
        <v>71.416793339999998</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2"/>
    </row>
    <row r="36" spans="3:64" s="179" customFormat="1" ht="15" customHeight="1">
      <c r="C36" s="819" t="str">
        <f>IF(Indice_index!$Z$1=1,"Transferências de capital","Capital transfers")</f>
        <v>Transferências de capital</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730.01677924000001</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-5.7011480000000034</v>
      </c>
      <c r="AF36" s="135">
        <f t="shared" si="43"/>
        <v>-5.7011480000000034</v>
      </c>
      <c r="AG36" s="135">
        <f t="shared" si="43"/>
        <v>124.35130799999996</v>
      </c>
      <c r="AH36" s="135">
        <f t="shared" si="43"/>
        <v>179.31562299999996</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2"/>
    </row>
    <row r="37" spans="3:64" s="179" customFormat="1" ht="15" customHeight="1">
      <c r="C37" s="1240" t="str">
        <f>IF(Indice_index!$Z$1=1,"Administrações Públicas","General Government subsectors")</f>
        <v>Administrações Públicas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166.57651899999996</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-5.7011480000000034</v>
      </c>
      <c r="AF37" s="135">
        <f t="shared" si="46"/>
        <v>-5.7011480000000034</v>
      </c>
      <c r="AG37" s="135">
        <f t="shared" si="46"/>
        <v>-5.7016920000000297</v>
      </c>
      <c r="AH37" s="135">
        <f t="shared" si="46"/>
        <v>49.262622999999969</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2"/>
    </row>
    <row r="38" spans="3:64" s="179" customFormat="1" ht="15" customHeight="1">
      <c r="C38" s="1240" t="str">
        <f>IF(Indice_index!$Z$1=1,"Outras","Others")</f>
        <v>Outras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563.44026024000004</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130.053</v>
      </c>
      <c r="AH38" s="135">
        <f t="shared" si="46"/>
        <v>130.053</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2"/>
    </row>
    <row r="39" spans="3:64" s="179" customFormat="1" ht="15" customHeight="1">
      <c r="C39" s="819" t="str">
        <f>IF(Indice_index!$Z$1=1,"Outras despesas de capital","Other capital expenditure")</f>
        <v>Outras despesas de capital</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2"/>
    </row>
    <row r="40" spans="3:64" s="179" customFormat="1" ht="4.5" customHeight="1">
      <c r="C40" s="1241"/>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2"/>
    </row>
    <row r="41" spans="3:64" s="318" customFormat="1" ht="15" customHeight="1">
      <c r="C41" s="1242" t="str">
        <f>IF(Indice_index!$Z$1=1,"Despesa efetiva","Effective Expenditure")</f>
        <v>Despesa efetiva</v>
      </c>
      <c r="D41" s="1243"/>
      <c r="E41" s="1244"/>
      <c r="F41" s="250"/>
      <c r="G41" s="1243">
        <f t="shared" ref="G41:T41" si="47">+G25+G34</f>
        <v>58.011006109999997</v>
      </c>
      <c r="H41" s="1244">
        <f t="shared" si="47"/>
        <v>14.138688</v>
      </c>
      <c r="I41" s="1244">
        <f t="shared" si="47"/>
        <v>101.22906699999999</v>
      </c>
      <c r="J41" s="1244">
        <f t="shared" si="47"/>
        <v>58.081165000000006</v>
      </c>
      <c r="K41" s="1244">
        <f t="shared" si="47"/>
        <v>15.331340999999995</v>
      </c>
      <c r="L41" s="1244">
        <f t="shared" si="47"/>
        <v>332.31218000000001</v>
      </c>
      <c r="M41" s="1244">
        <f t="shared" si="47"/>
        <v>-167.72864746000005</v>
      </c>
      <c r="N41" s="1244">
        <f t="shared" si="47"/>
        <v>349.97198581999999</v>
      </c>
      <c r="O41" s="1244">
        <f t="shared" si="47"/>
        <v>77.991138439999986</v>
      </c>
      <c r="P41" s="1244">
        <f t="shared" si="47"/>
        <v>21.288442590000045</v>
      </c>
      <c r="Q41" s="1244">
        <f t="shared" si="47"/>
        <v>37.183738090000006</v>
      </c>
      <c r="R41" s="1244">
        <f t="shared" si="47"/>
        <v>811.21063387999993</v>
      </c>
      <c r="S41" s="1244">
        <f t="shared" si="47"/>
        <v>1709.0207384700002</v>
      </c>
      <c r="T41" s="1243">
        <f t="shared" si="47"/>
        <v>1709.02073847</v>
      </c>
      <c r="U41" s="250"/>
      <c r="V41" s="1243">
        <f t="shared" ref="V41:AH41" si="48">+V25+V34</f>
        <v>37.033985489999999</v>
      </c>
      <c r="W41" s="1244">
        <f t="shared" si="48"/>
        <v>19.998387999999998</v>
      </c>
      <c r="X41" s="1244">
        <f t="shared" si="48"/>
        <v>18.944890640000001</v>
      </c>
      <c r="Y41" s="1244">
        <f t="shared" si="48"/>
        <v>17.391639319999996</v>
      </c>
      <c r="Z41" s="1244">
        <f t="shared" si="48"/>
        <v>17.346639319999998</v>
      </c>
      <c r="AA41" s="1244">
        <f t="shared" si="48"/>
        <v>17.391639320000003</v>
      </c>
      <c r="AB41" s="1244">
        <f t="shared" ref="AB41" si="49">+AB25+AB34</f>
        <v>32.072128319999997</v>
      </c>
      <c r="AC41" s="1244">
        <f t="shared" si="48"/>
        <v>-3.920281680000004</v>
      </c>
      <c r="AD41" s="1244">
        <f t="shared" si="48"/>
        <v>42.928732820000008</v>
      </c>
      <c r="AE41" s="1244">
        <f t="shared" si="48"/>
        <v>17.944461320000002</v>
      </c>
      <c r="AF41" s="1244">
        <f t="shared" si="48"/>
        <v>-4.1478966799999988</v>
      </c>
      <c r="AG41" s="1244">
        <f t="shared" si="48"/>
        <v>1150.6589414399998</v>
      </c>
      <c r="AH41" s="1243">
        <f t="shared" si="48"/>
        <v>1363.6432676300001</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3"/>
    </row>
    <row r="42" spans="3:64" ht="5.4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242" t="str">
        <f>IF(Indice_index!$Z$1=1,"Impacto no Saldo global","Impact in Overall balance")</f>
        <v>Impacto no Saldo global</v>
      </c>
      <c r="D43" s="1243"/>
      <c r="E43" s="1243"/>
      <c r="F43" s="250"/>
      <c r="G43" s="1243">
        <f t="shared" ref="G43:T43" si="50">+G23-G41</f>
        <v>0.71871592000000817</v>
      </c>
      <c r="H43" s="1243">
        <f t="shared" si="50"/>
        <v>62.01678896</v>
      </c>
      <c r="I43" s="1243">
        <f t="shared" si="50"/>
        <v>27.457273049999998</v>
      </c>
      <c r="J43" s="1243">
        <f t="shared" si="50"/>
        <v>11.700735579999979</v>
      </c>
      <c r="K43" s="1243">
        <f t="shared" si="50"/>
        <v>360.15229293000004</v>
      </c>
      <c r="L43" s="1243">
        <f t="shared" si="50"/>
        <v>-242.89344172</v>
      </c>
      <c r="M43" s="1243">
        <f t="shared" si="50"/>
        <v>190.05570347000005</v>
      </c>
      <c r="N43" s="1243">
        <f t="shared" si="50"/>
        <v>-333.81223711000001</v>
      </c>
      <c r="O43" s="1243">
        <f t="shared" si="50"/>
        <v>-55.55393137999998</v>
      </c>
      <c r="P43" s="1243">
        <f t="shared" si="50"/>
        <v>53.14314811999995</v>
      </c>
      <c r="Q43" s="1243">
        <f t="shared" si="50"/>
        <v>615.86513494000008</v>
      </c>
      <c r="R43" s="1243">
        <f t="shared" si="50"/>
        <v>-258.50619419999998</v>
      </c>
      <c r="S43" s="1243">
        <f t="shared" si="50"/>
        <v>430.34398855999962</v>
      </c>
      <c r="T43" s="1243">
        <f t="shared" si="50"/>
        <v>430.34398855999984</v>
      </c>
      <c r="U43" s="250"/>
      <c r="V43" s="1243">
        <f t="shared" ref="V43:AH43" si="51">+V23-V41</f>
        <v>44.321958979999998</v>
      </c>
      <c r="W43" s="1243">
        <f t="shared" si="51"/>
        <v>29.070925070000001</v>
      </c>
      <c r="X43" s="1243">
        <f t="shared" si="51"/>
        <v>63.206733099999994</v>
      </c>
      <c r="Y43" s="1243">
        <f t="shared" si="51"/>
        <v>35.02547508</v>
      </c>
      <c r="Z43" s="1243">
        <f t="shared" si="51"/>
        <v>309.10529980000001</v>
      </c>
      <c r="AA43" s="1243">
        <f t="shared" si="51"/>
        <v>298.00605199</v>
      </c>
      <c r="AB43" s="1243">
        <f t="shared" ref="AB43" si="52">+AB23-AB41</f>
        <v>1.2530921000000035</v>
      </c>
      <c r="AC43" s="1243">
        <f t="shared" si="51"/>
        <v>23.247379730000006</v>
      </c>
      <c r="AD43" s="1243">
        <f t="shared" si="51"/>
        <v>-25.456350110000006</v>
      </c>
      <c r="AE43" s="1243">
        <f t="shared" si="51"/>
        <v>106.35946118</v>
      </c>
      <c r="AF43" s="1243">
        <f t="shared" si="51"/>
        <v>432.21617767999993</v>
      </c>
      <c r="AG43" s="1243">
        <f t="shared" si="51"/>
        <v>-1117.5516038799999</v>
      </c>
      <c r="AH43" s="1243">
        <f t="shared" si="51"/>
        <v>198.80460072000005</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3"/>
    </row>
    <row r="44" spans="3:64" ht="4.5" customHeight="1">
      <c r="C44" s="666"/>
      <c r="D44" s="1245"/>
      <c r="E44" s="1245"/>
      <c r="G44" s="1245"/>
      <c r="H44" s="1245"/>
      <c r="I44" s="1245"/>
      <c r="J44" s="1245"/>
      <c r="K44" s="1245"/>
      <c r="L44" s="1245"/>
      <c r="M44" s="1245"/>
      <c r="N44" s="1245"/>
      <c r="O44" s="1245"/>
      <c r="P44" s="1245"/>
      <c r="Q44" s="1245"/>
      <c r="R44" s="1245"/>
      <c r="S44" s="1245"/>
      <c r="T44" s="1245"/>
      <c r="V44" s="1245"/>
      <c r="W44" s="1245"/>
      <c r="X44" s="1245"/>
      <c r="Y44" s="1245"/>
      <c r="Z44" s="1245"/>
      <c r="AA44" s="1245"/>
      <c r="AB44" s="1245"/>
      <c r="AC44" s="1245"/>
      <c r="AD44" s="1245"/>
      <c r="AE44" s="1245"/>
      <c r="AF44" s="1245"/>
      <c r="AG44" s="1245"/>
      <c r="AH44" s="124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246" t="str">
        <f>IF(Indice_index!$Z$1=1,"   Por memória:","   Memo item:")</f>
        <v xml:space="preserve">   Por memória:</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240" t="str">
        <f>IF(Indice_index!$Z$1=1,"Saldo corrente","Current balance")</f>
        <v>Saldo corrente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1324.0315668799997</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102.21156449999999</v>
      </c>
      <c r="AF46" s="135">
        <f t="shared" si="54"/>
        <v>428.06828099999996</v>
      </c>
      <c r="AG46" s="135">
        <f t="shared" si="54"/>
        <v>-991.64704455999993</v>
      </c>
      <c r="AH46" s="135">
        <f t="shared" si="54"/>
        <v>419.53701706000015</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2"/>
    </row>
    <row r="47" spans="3:64" s="179" customFormat="1" ht="15" customHeight="1">
      <c r="C47" s="1240" t="str">
        <f>IF(Indice_index!$Z$1=1,"Saldo de capital","Capital balance")</f>
        <v>Saldo de capital</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-893.68757831999994</v>
      </c>
      <c r="T47" s="135">
        <f t="shared" si="55"/>
        <v>-893.68757831999994</v>
      </c>
      <c r="U47" s="96"/>
      <c r="V47" s="135">
        <f t="shared" ref="V47:AH47" si="56">+V16-V34</f>
        <v>-15.434491319999999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4.1478966800000041</v>
      </c>
      <c r="AF47" s="135">
        <f t="shared" si="56"/>
        <v>4.1478966799999988</v>
      </c>
      <c r="AG47" s="135">
        <f t="shared" si="56"/>
        <v>-125.90455931999996</v>
      </c>
      <c r="AH47" s="135">
        <f t="shared" si="56"/>
        <v>-220.73241633999999</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2"/>
    </row>
    <row r="48" spans="3:64" ht="15" customHeight="1">
      <c r="C48" s="1240" t="str">
        <f>IF(Indice_index!$Z$1=1,"Saldo primário","Primary balance")</f>
        <v>Saldo primário</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143.69135401999961</v>
      </c>
      <c r="T48" s="135">
        <f t="shared" si="57"/>
        <v>143.69135401999984</v>
      </c>
      <c r="V48" s="135">
        <f>+V43+V28</f>
        <v>44.321958979999998</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106.35946118</v>
      </c>
      <c r="AF48" s="135">
        <f t="shared" si="58"/>
        <v>432.21617767999993</v>
      </c>
      <c r="AG48" s="135">
        <f t="shared" si="58"/>
        <v>-1117.5516038799999</v>
      </c>
      <c r="AH48" s="135">
        <f t="shared" si="58"/>
        <v>198.80460072000005</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247" t="str">
        <f>IF(Indice_index!$Z$1=1,"Despesa  primária","Primary Expenditure")</f>
        <v>Despesa  primária</v>
      </c>
      <c r="D49" s="983"/>
      <c r="E49" s="1248"/>
      <c r="G49" s="983">
        <f t="shared" ref="G49:T49" si="59">+G41-G28</f>
        <v>58.011006109999997</v>
      </c>
      <c r="H49" s="1248">
        <f t="shared" si="59"/>
        <v>14.138688</v>
      </c>
      <c r="I49" s="1248">
        <f t="shared" si="59"/>
        <v>101.22906699999999</v>
      </c>
      <c r="J49" s="1248">
        <f t="shared" si="59"/>
        <v>58.081165000000006</v>
      </c>
      <c r="K49" s="1248">
        <f t="shared" si="59"/>
        <v>15.331340999999995</v>
      </c>
      <c r="L49" s="1248">
        <f t="shared" si="59"/>
        <v>332.31218000000001</v>
      </c>
      <c r="M49" s="1248">
        <f t="shared" si="59"/>
        <v>118.92398707999996</v>
      </c>
      <c r="N49" s="1248">
        <f t="shared" si="59"/>
        <v>349.97198581999999</v>
      </c>
      <c r="O49" s="1248">
        <f t="shared" si="59"/>
        <v>77.991138439999986</v>
      </c>
      <c r="P49" s="1248">
        <f t="shared" si="59"/>
        <v>21.288442590000045</v>
      </c>
      <c r="Q49" s="1248">
        <f t="shared" si="59"/>
        <v>37.183738090000006</v>
      </c>
      <c r="R49" s="1248">
        <f t="shared" si="59"/>
        <v>811.21063387999993</v>
      </c>
      <c r="S49" s="1248">
        <f t="shared" si="59"/>
        <v>1995.6733730100002</v>
      </c>
      <c r="T49" s="983">
        <f t="shared" si="59"/>
        <v>1995.67337301</v>
      </c>
      <c r="V49" s="983">
        <f t="shared" ref="V49:AG49" si="60">+V41-V28</f>
        <v>37.033985489999999</v>
      </c>
      <c r="W49" s="1248">
        <f t="shared" si="60"/>
        <v>19.998387999999998</v>
      </c>
      <c r="X49" s="1248">
        <f t="shared" si="60"/>
        <v>18.944890640000001</v>
      </c>
      <c r="Y49" s="1248">
        <f t="shared" si="60"/>
        <v>17.391639319999996</v>
      </c>
      <c r="Z49" s="1248">
        <f t="shared" si="60"/>
        <v>17.346639319999998</v>
      </c>
      <c r="AA49" s="1248">
        <f t="shared" si="60"/>
        <v>17.391639320000003</v>
      </c>
      <c r="AB49" s="1248">
        <f t="shared" si="60"/>
        <v>32.072128319999997</v>
      </c>
      <c r="AC49" s="1248">
        <f t="shared" si="60"/>
        <v>-3.920281680000004</v>
      </c>
      <c r="AD49" s="1248">
        <f t="shared" si="60"/>
        <v>42.928732820000008</v>
      </c>
      <c r="AE49" s="1248">
        <f t="shared" si="60"/>
        <v>17.944461320000002</v>
      </c>
      <c r="AF49" s="1248">
        <f t="shared" si="60"/>
        <v>-4.1478966799999988</v>
      </c>
      <c r="AG49" s="1248">
        <f t="shared" si="60"/>
        <v>1150.6589414399998</v>
      </c>
      <c r="AH49" s="983">
        <f>+AH41-AH28</f>
        <v>1363.6432676300001</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 customHeight="1">
      <c r="B52" s="362"/>
      <c r="C52" s="1249"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1250"/>
      <c r="E52" s="1251"/>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3"/>
    </row>
    <row r="53" spans="2:64" s="180" customFormat="1" ht="22.5" customHeight="1">
      <c r="B53" s="177"/>
      <c r="C53" s="1235"/>
      <c r="D53" s="1236"/>
      <c r="E53" s="1252"/>
      <c r="F53" s="96"/>
      <c r="G53" s="1805" t="str">
        <f>IF(Indice_index!$Z$1=1,"2021 - mensal e acumulado","2021 - monthly and cumulative")</f>
        <v>2021 - mensal e acumulado</v>
      </c>
      <c r="H53" s="1805" t="s">
        <v>15</v>
      </c>
      <c r="I53" s="1805" t="s">
        <v>15</v>
      </c>
      <c r="J53" s="1805" t="s">
        <v>15</v>
      </c>
      <c r="K53" s="1805" t="s">
        <v>15</v>
      </c>
      <c r="L53" s="1805" t="s">
        <v>15</v>
      </c>
      <c r="M53" s="1805" t="s">
        <v>15</v>
      </c>
      <c r="N53" s="1805" t="s">
        <v>15</v>
      </c>
      <c r="O53" s="1805" t="s">
        <v>15</v>
      </c>
      <c r="P53" s="1805" t="s">
        <v>15</v>
      </c>
      <c r="Q53" s="1805" t="s">
        <v>15</v>
      </c>
      <c r="R53" s="1805" t="s">
        <v>15</v>
      </c>
      <c r="S53" s="1805"/>
      <c r="T53" s="1805" t="s">
        <v>15</v>
      </c>
      <c r="U53" s="96"/>
      <c r="V53" s="1805" t="str">
        <f>IF(Indice_index!$Z$1=1,"2022 - mensal e acumulado","2022 - monthly and cumulative")</f>
        <v>2022 - mensal e acumulado</v>
      </c>
      <c r="W53" s="1805" t="s">
        <v>15</v>
      </c>
      <c r="X53" s="1805" t="s">
        <v>15</v>
      </c>
      <c r="Y53" s="1805" t="s">
        <v>15</v>
      </c>
      <c r="Z53" s="1805" t="s">
        <v>15</v>
      </c>
      <c r="AA53" s="1805" t="s">
        <v>15</v>
      </c>
      <c r="AB53" s="1805" t="s">
        <v>15</v>
      </c>
      <c r="AC53" s="1805" t="s">
        <v>15</v>
      </c>
      <c r="AD53" s="1805" t="s">
        <v>15</v>
      </c>
      <c r="AE53" s="1805" t="s">
        <v>15</v>
      </c>
      <c r="AF53" s="1805" t="s">
        <v>15</v>
      </c>
      <c r="AG53" s="1805" t="s">
        <v>15</v>
      </c>
      <c r="AH53" s="1805"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2"/>
    </row>
    <row r="54" spans="2:64" s="180" customFormat="1" ht="22.5" customHeight="1">
      <c r="B54" s="177"/>
      <c r="C54" s="1253"/>
      <c r="D54" s="1236"/>
      <c r="E54" s="1236"/>
      <c r="F54" s="96"/>
      <c r="G54" s="1236" t="str">
        <f>IF(Indice_index!$Z$1=1,"jan","Jan")</f>
        <v>jan</v>
      </c>
      <c r="H54" s="1236" t="str">
        <f>IF(Indice_index!$Z$1=1,"fev","Feb")</f>
        <v>fev</v>
      </c>
      <c r="I54" s="1236" t="str">
        <f>IF(Indice_index!$Z$1=1,"mar","Mar")</f>
        <v>mar</v>
      </c>
      <c r="J54" s="1236" t="str">
        <f>IF(Indice_index!$Z$1=1,"abr","Apr")</f>
        <v>abr</v>
      </c>
      <c r="K54" s="1236" t="str">
        <f>IF(Indice_index!$Z$1=1,"mai","May")</f>
        <v>mai</v>
      </c>
      <c r="L54" s="1236" t="str">
        <f>IF(Indice_index!$Z$1=1,"jun","Jun")</f>
        <v>jun</v>
      </c>
      <c r="M54" s="1236" t="str">
        <f>IF(Indice_index!$Z$1=1,"jul","Jul")</f>
        <v>jul</v>
      </c>
      <c r="N54" s="1236" t="str">
        <f>IF(Indice_index!$Z$1=1,"ago","Aug")</f>
        <v>ago</v>
      </c>
      <c r="O54" s="1236" t="str">
        <f>IF(Indice_index!$Z$1=1,"set","Sep")</f>
        <v>set</v>
      </c>
      <c r="P54" s="1236" t="str">
        <f>IF(Indice_index!$Z$1=1,"out","Oct")</f>
        <v>out</v>
      </c>
      <c r="Q54" s="1236" t="str">
        <f>IF(Indice_index!$Z$1=1,"nov","Nov")</f>
        <v>nov</v>
      </c>
      <c r="R54" s="1236" t="str">
        <f>IF(Indice_index!$Z$1=1,"dez","Dec")</f>
        <v>dez</v>
      </c>
      <c r="S54" s="1236" t="str">
        <f>IF(Indice_index!$Z$1=1,"Ano até à data","Year to date")</f>
        <v>Ano até à data</v>
      </c>
      <c r="T54" s="1236" t="str">
        <f>IF(Indice_index!$Z$1=1,"Acumulado","Cumulative")</f>
        <v>Acumulado</v>
      </c>
      <c r="U54" s="96"/>
      <c r="V54" s="1236" t="str">
        <f>IF(Indice_index!$Z$1=1,"jan","Jan")</f>
        <v>jan</v>
      </c>
      <c r="W54" s="1236" t="str">
        <f>IF(Indice_index!$Z$1=1,"fev","Feb")</f>
        <v>fev</v>
      </c>
      <c r="X54" s="1236" t="str">
        <f>IF(Indice_index!$Z$1=1,"mar","Mar")</f>
        <v>mar</v>
      </c>
      <c r="Y54" s="1236" t="str">
        <f>IF(Indice_index!$Z$1=1,"abr","Apr")</f>
        <v>abr</v>
      </c>
      <c r="Z54" s="1236" t="str">
        <f>IF(Indice_index!$Z$1=1,"mai","May")</f>
        <v>mai</v>
      </c>
      <c r="AA54" s="1236" t="str">
        <f>IF(Indice_index!$Z$1=1,"jun","Jun")</f>
        <v>jun</v>
      </c>
      <c r="AB54" s="1236" t="str">
        <f>IF(Indice_index!$Z$1=1,"jul","Jul")</f>
        <v>jul</v>
      </c>
      <c r="AC54" s="1236" t="str">
        <f>IF(Indice_index!$Z$1=1,"ago","Aug")</f>
        <v>ago</v>
      </c>
      <c r="AD54" s="1236" t="str">
        <f>IF(Indice_index!$Z$1=1,"set","Sep")</f>
        <v>set</v>
      </c>
      <c r="AE54" s="1236" t="str">
        <f>IF(Indice_index!$Z$1=1,"out","Oct")</f>
        <v>out</v>
      </c>
      <c r="AF54" s="1236" t="str">
        <f>IF(Indice_index!$Z$1=1,"nov","Nov")</f>
        <v>nov</v>
      </c>
      <c r="AG54" s="1236" t="str">
        <f>IF(Indice_index!$Z$1=1,"dez","Dec")</f>
        <v>dez</v>
      </c>
      <c r="AH54" s="1236" t="str">
        <f>IF(Indice_index!$Z$1=1,"Acumulado","Cumulative")</f>
        <v>Acumulado</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2"/>
    </row>
    <row r="55" spans="2:64" s="324" customFormat="1" ht="15" customHeight="1">
      <c r="B55" s="321"/>
      <c r="C55" s="1254" t="str">
        <f>IF(Indice_index!$Z$1=1,"Subtotal da Administração Central","Central Government subtotal")</f>
        <v>Subtotal da Administração Central</v>
      </c>
      <c r="D55" s="1255"/>
      <c r="E55" s="1256"/>
      <c r="F55" s="250"/>
      <c r="G55" s="1256">
        <f t="shared" ref="G55:R55" si="61">SUMIF($D56:$D86,"Receita",G56:G86)-SUMIF($D56:$D86,"Despesa",G56:G86)+SUMIF($D56:$D86,"Revenue",G56:G86)-SUMIF($D56:$D86,"Expenditure",G56:G86)</f>
        <v>0.71871592000000817</v>
      </c>
      <c r="H55" s="1256">
        <f t="shared" si="61"/>
        <v>62.01678896</v>
      </c>
      <c r="I55" s="1256">
        <f t="shared" si="61"/>
        <v>27.457273049999998</v>
      </c>
      <c r="J55" s="1256">
        <f t="shared" si="61"/>
        <v>11.700735579999979</v>
      </c>
      <c r="K55" s="1256">
        <f t="shared" si="61"/>
        <v>360.15229292999999</v>
      </c>
      <c r="L55" s="1256">
        <f t="shared" si="61"/>
        <v>-242.89344172</v>
      </c>
      <c r="M55" s="1256">
        <f t="shared" si="61"/>
        <v>190.05570347000005</v>
      </c>
      <c r="N55" s="1256">
        <f t="shared" si="61"/>
        <v>-333.81223710999996</v>
      </c>
      <c r="O55" s="1256">
        <f t="shared" si="61"/>
        <v>-55.55393137999998</v>
      </c>
      <c r="P55" s="1256">
        <f t="shared" si="61"/>
        <v>53.14314811999995</v>
      </c>
      <c r="Q55" s="1256">
        <f t="shared" si="61"/>
        <v>615.86513494000008</v>
      </c>
      <c r="R55" s="1256">
        <f t="shared" si="61"/>
        <v>-258.50619419999998</v>
      </c>
      <c r="S55" s="1256">
        <f>SUMIF($D56:$D86,"Receita",S56:S86)-SUMIF($D56:$D86,"Despesa",S56:S86)+SUMIF($D56:$D86,"Revenue",S56:S86)-SUMIF($D56:$D86,"Expenditure",S56:S86)</f>
        <v>430.3439885600003</v>
      </c>
      <c r="T55" s="1256">
        <f>SUMIF($D56:$D86,"Receita",T56:T86)-SUMIF($D56:$D86,"Despesa",T56:T86)+SUMIF($D56:$D86,"Revenue",T56:T86)-SUMIF($D56:$D86,"Expenditure",T56:T86)</f>
        <v>430.3439885600003</v>
      </c>
      <c r="U55" s="250"/>
      <c r="V55" s="1256">
        <f t="shared" ref="V55:AG55" si="62">SUMIF($D56:$D86,"Receita",V56:V86)-SUMIF($D56:$D86,"Despesa",V56:V86)+SUMIF($D56:$D86,"Revenue",V56:V86)-SUMIF($D56:$D86,"Expenditure",V56:V86)</f>
        <v>44.321958979999998</v>
      </c>
      <c r="W55" s="1256">
        <f t="shared" si="62"/>
        <v>29.070925070000008</v>
      </c>
      <c r="X55" s="1256">
        <f t="shared" si="62"/>
        <v>63.206733099999987</v>
      </c>
      <c r="Y55" s="1256">
        <f t="shared" si="62"/>
        <v>35.025475080000007</v>
      </c>
      <c r="Z55" s="1256">
        <f>SUMIF($D56:$D86,"Receita",Z56:Z86)-SUMIF($D56:$D86,"Despesa",Z56:Z86)+SUMIF($D56:$D86,"Revenue",Z56:Z86)-SUMIF($D56:$D86,"Expenditure",Z56:Z86)</f>
        <v>309.10529980000001</v>
      </c>
      <c r="AA55" s="1256">
        <f>SUMIF($D56:$D86,"Receita",AA56:AA86)-SUMIF($D56:$D86,"Despesa",AA56:AA86)+SUMIF($D56:$D86,"Revenue",AA56:AA86)-SUMIF($D56:$D86,"Expenditure",AA56:AA86)</f>
        <v>298.00605199</v>
      </c>
      <c r="AB55" s="1256">
        <f t="shared" si="62"/>
        <v>1.2530921000000035</v>
      </c>
      <c r="AC55" s="1256">
        <f t="shared" si="62"/>
        <v>23.247379730000006</v>
      </c>
      <c r="AD55" s="1256">
        <f t="shared" si="62"/>
        <v>-25.45635011000001</v>
      </c>
      <c r="AE55" s="1256">
        <f t="shared" si="62"/>
        <v>106.35946118</v>
      </c>
      <c r="AF55" s="1256">
        <f t="shared" si="62"/>
        <v>432.21617767999993</v>
      </c>
      <c r="AG55" s="1256">
        <f t="shared" si="62"/>
        <v>-1117.5516038800001</v>
      </c>
      <c r="AH55" s="1256">
        <f>SUMIF($D56:$D86,"Receita",AH56:AH86)-SUMIF($D56:$D86,"Despesa",AH56:AH86)+SUMIF($D56:$D86,"Revenue",AH56:AH86)-SUMIF($D56:$D86,"Expenditure",AH56:AH86)</f>
        <v>198.80460072000005</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3"/>
    </row>
    <row r="56" spans="2:64" s="180" customFormat="1" ht="18" customHeight="1">
      <c r="B56" s="177"/>
      <c r="C56" s="817"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818" t="str">
        <f>IF(Indice_index!$Z$1=1,"Receita","Revenue")</f>
        <v>Receita</v>
      </c>
      <c r="E56" s="179" t="s">
        <v>16</v>
      </c>
      <c r="F56" s="96"/>
      <c r="G56" s="135"/>
      <c r="H56" s="135"/>
      <c r="I56" s="179"/>
      <c r="J56" s="179"/>
      <c r="K56" s="179"/>
      <c r="L56" s="179"/>
      <c r="M56" s="179"/>
      <c r="N56" s="179"/>
      <c r="O56" s="179"/>
      <c r="P56" s="179"/>
      <c r="Q56" s="179"/>
      <c r="R56" s="179">
        <v>337.30786981</v>
      </c>
      <c r="S56" s="179">
        <f>SUM(G56:R56)</f>
        <v>337.30786981</v>
      </c>
      <c r="T56" s="179">
        <f>SUM(G56:R56)</f>
        <v>337.30786981</v>
      </c>
      <c r="U56" s="96"/>
      <c r="V56" s="135"/>
      <c r="W56" s="135"/>
      <c r="X56" s="179"/>
      <c r="Y56" s="179"/>
      <c r="Z56" s="179"/>
      <c r="AA56" s="179"/>
      <c r="AB56" s="179"/>
      <c r="AC56" s="179"/>
      <c r="AD56" s="179"/>
      <c r="AE56" s="179"/>
      <c r="AF56" s="179">
        <v>393.99150488999999</v>
      </c>
      <c r="AG56" s="179"/>
      <c r="AH56" s="179">
        <f>SUM(V56:AG56)</f>
        <v>393.99150488999999</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2"/>
    </row>
    <row r="57" spans="2:64" s="182" customFormat="1" ht="22.5" customHeight="1">
      <c r="B57" s="181"/>
      <c r="C57" s="817"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818" t="str">
        <f>IF(Indice_index!$Z$1=1,"Receita","Revenue")</f>
        <v>Receita</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 t="shared" ref="S57:S86" si="63">SUM(G57:R57)</f>
        <v>130.50063764000001</v>
      </c>
      <c r="T57" s="179">
        <f t="shared" ref="T57" si="64">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v>100.16905783999999</v>
      </c>
      <c r="AF57" s="179">
        <v>1.7039551799999999</v>
      </c>
      <c r="AG57" s="179">
        <v>7.9541395399999999</v>
      </c>
      <c r="AH57" s="179">
        <f>SUM(V57:AG57)</f>
        <v>109.91683666999998</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2"/>
    </row>
    <row r="58" spans="2:64" s="180" customFormat="1" ht="22.5" customHeight="1">
      <c r="B58" s="177"/>
      <c r="C58" s="817"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8" s="818" t="str">
        <f>IF(Indice_index!$Z$1=1,"Receita","Revenue")</f>
        <v>Receita</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si="63"/>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2"/>
    </row>
    <row r="59" spans="2:64" s="182" customFormat="1" ht="14.25" customHeight="1">
      <c r="B59" s="181"/>
      <c r="C59" s="817"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59" s="818" t="str">
        <f>IF(Indice_index!$Z$1=1,"Receita","Revenue")</f>
        <v>Receita</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3"/>
        <v>16.686363790000001</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v>4.01514346</v>
      </c>
      <c r="AF59" s="179">
        <v>1.1347425900000001</v>
      </c>
      <c r="AG59" s="179"/>
      <c r="AH59" s="179">
        <f>SUM(V59:AG59)</f>
        <v>17.908934379999998</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2"/>
    </row>
    <row r="60" spans="2:64" s="182" customFormat="1" ht="14.25" customHeight="1">
      <c r="B60" s="181"/>
      <c r="C60" s="817"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0" s="818" t="str">
        <f>IF(Indice_index!$Z$1=1,"Receita","Revenue")</f>
        <v>Receita</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3"/>
        <v>20.2202172</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v>3.6216013399999998</v>
      </c>
      <c r="AF60" s="179">
        <v>0.49414454000000002</v>
      </c>
      <c r="AG60" s="179">
        <v>6.0218460000000001E-2</v>
      </c>
      <c r="AH60" s="179">
        <f>SUM(V60:AG60)</f>
        <v>18.61070848</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2"/>
    </row>
    <row r="61" spans="2:64" s="182" customFormat="1" ht="14.25" customHeight="1">
      <c r="B61" s="181"/>
      <c r="C61" s="817"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1" s="818" t="str">
        <f>IF(Indice_index!$Z$1=1,"Receita","Revenue")</f>
        <v>Receita</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 t="shared" si="63"/>
        <v>183.66682111000003</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v>15.809810150000001</v>
      </c>
      <c r="AF61" s="179">
        <v>12.079063509999999</v>
      </c>
      <c r="AG61" s="179">
        <v>19.644963499999999</v>
      </c>
      <c r="AH61" s="179">
        <f t="shared" ref="AH61" si="67">SUM(V61:AG61)</f>
        <v>187.06363483999999</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2"/>
    </row>
    <row r="62" spans="2:64" s="182" customFormat="1" ht="14.25" customHeight="1">
      <c r="B62" s="181"/>
      <c r="C62" s="817"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2" s="818" t="str">
        <f>IF(Indice_index!$Z$1=1,"Receita","Revenue")</f>
        <v>Receita</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3"/>
        <v>8.0854700499999996</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v>0.68830970999999996</v>
      </c>
      <c r="AF62" s="179">
        <v>0.48822744000000001</v>
      </c>
      <c r="AG62" s="179">
        <v>0.83010706000000001</v>
      </c>
      <c r="AH62" s="179">
        <f>SUM(V62:AG62)</f>
        <v>7.9674329200000003</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2"/>
    </row>
    <row r="63" spans="2:64" s="182" customFormat="1" ht="14.25" customHeight="1">
      <c r="B63" s="181"/>
      <c r="C63" s="817" t="str">
        <f>IF(Indice_index!$Z$1=1,"Leilão no âmbito da 5.ª Geração de comunicações móveis (5G)"," Sale of the 5th generation mobile frequency use rights (5G)")</f>
        <v>Leilão no âmbito da 5.ª Geração de comunicações móveis (5G)</v>
      </c>
      <c r="D63" s="818" t="str">
        <f>IF(Indice_index!$Z$1=1,"Receita","Revenue")</f>
        <v>Receita</v>
      </c>
      <c r="E63" s="179" t="s">
        <v>58</v>
      </c>
      <c r="F63" s="96"/>
      <c r="G63" s="135"/>
      <c r="H63" s="135"/>
      <c r="I63" s="179"/>
      <c r="J63" s="179"/>
      <c r="K63" s="179"/>
      <c r="L63" s="179"/>
      <c r="M63" s="179"/>
      <c r="N63" s="179"/>
      <c r="O63" s="179"/>
      <c r="P63" s="179"/>
      <c r="Q63" s="179">
        <v>347.43915644999998</v>
      </c>
      <c r="R63" s="179">
        <v>62.6145</v>
      </c>
      <c r="S63" s="179">
        <f t="shared" si="63"/>
        <v>410.05365645000001</v>
      </c>
      <c r="T63" s="179">
        <f>SUM(G63:R63)</f>
        <v>410.05365645000001</v>
      </c>
      <c r="U63" s="96"/>
      <c r="V63" s="135"/>
      <c r="W63" s="135"/>
      <c r="X63" s="179"/>
      <c r="Y63" s="179"/>
      <c r="Z63" s="179"/>
      <c r="AA63" s="179"/>
      <c r="AB63" s="179"/>
      <c r="AC63" s="179"/>
      <c r="AD63" s="179"/>
      <c r="AE63" s="179"/>
      <c r="AF63" s="179">
        <v>18.17664285</v>
      </c>
      <c r="AG63" s="179"/>
      <c r="AH63" s="179">
        <f>SUM(V63:AG63)</f>
        <v>18.17664285</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2"/>
    </row>
    <row r="64" spans="2:64" s="180" customFormat="1" ht="14.25" customHeight="1">
      <c r="B64" s="177"/>
      <c r="C64" s="819" t="str">
        <f>IF(Indice_index!$Z$1=1,"Dividendos do Banco de Portugal","Dividends from the Bank of Portugal")</f>
        <v>Dividendos do Banco de Portugal</v>
      </c>
      <c r="D64" s="818" t="str">
        <f>IF(Indice_index!$Z$1=1,"Receita","Revenue")</f>
        <v>Receita</v>
      </c>
      <c r="E64" s="179" t="s">
        <v>58</v>
      </c>
      <c r="F64" s="96"/>
      <c r="G64" s="135"/>
      <c r="H64" s="135"/>
      <c r="I64" s="179"/>
      <c r="J64" s="179"/>
      <c r="K64" s="179">
        <v>336.39773766000002</v>
      </c>
      <c r="L64" s="179"/>
      <c r="M64" s="179"/>
      <c r="N64" s="179"/>
      <c r="O64" s="179"/>
      <c r="P64" s="179"/>
      <c r="Q64" s="179"/>
      <c r="R64" s="179"/>
      <c r="S64" s="179">
        <f t="shared" si="63"/>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2"/>
    </row>
    <row r="65" spans="2:64" s="180" customFormat="1" ht="14.25" customHeight="1">
      <c r="B65" s="177"/>
      <c r="C65" s="819" t="str">
        <f>IF(Indice_index!$Z$1=1,"Dividendos da Caixa Geral de Depósitos","Dividends from the public bank Caixa Geral de Depósitos")</f>
        <v>Dividendos da Caixa Geral de Depósitos</v>
      </c>
      <c r="D65" s="818" t="str">
        <f>IF(Indice_index!$Z$1=1,"Receita","Revenue")</f>
        <v>Receita</v>
      </c>
      <c r="E65" s="179" t="s">
        <v>58</v>
      </c>
      <c r="F65" s="96"/>
      <c r="G65" s="135"/>
      <c r="H65" s="135"/>
      <c r="I65" s="179"/>
      <c r="J65" s="179"/>
      <c r="K65" s="179"/>
      <c r="L65" s="179">
        <v>66.074657529999996</v>
      </c>
      <c r="M65" s="179"/>
      <c r="N65" s="179"/>
      <c r="O65" s="179"/>
      <c r="P65" s="179"/>
      <c r="Q65" s="179">
        <v>237</v>
      </c>
      <c r="R65" s="179"/>
      <c r="S65" s="179">
        <f t="shared" si="63"/>
        <v>303.07465752999997</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2"/>
    </row>
    <row r="66" spans="2:64" s="180" customFormat="1" ht="22.5">
      <c r="B66" s="177"/>
      <c r="C66" s="817"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6" s="818" t="str">
        <f>IF(Indice_index!$Z$1=1,"Receita","Revenue")</f>
        <v>Receita</v>
      </c>
      <c r="E66" s="179" t="s">
        <v>58</v>
      </c>
      <c r="F66" s="96"/>
      <c r="G66" s="135"/>
      <c r="H66" s="135"/>
      <c r="I66" s="179"/>
      <c r="J66" s="179"/>
      <c r="K66" s="179"/>
      <c r="L66" s="179">
        <v>7.97505679</v>
      </c>
      <c r="M66" s="179"/>
      <c r="N66" s="179"/>
      <c r="O66" s="179"/>
      <c r="P66" s="179"/>
      <c r="Q66" s="179"/>
      <c r="R66" s="179"/>
      <c r="S66" s="179">
        <f t="shared" si="63"/>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2"/>
    </row>
    <row r="67" spans="2:64" s="182" customFormat="1" ht="24" customHeight="1">
      <c r="B67" s="181"/>
      <c r="C67" s="817"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D67" s="818" t="str">
        <f>IF(Indice_index!$Z$1=1,"Receita","Revenue")</f>
        <v>Receita</v>
      </c>
      <c r="E67" s="179" t="s">
        <v>58</v>
      </c>
      <c r="F67" s="96"/>
      <c r="G67" s="135"/>
      <c r="H67" s="135"/>
      <c r="I67" s="179"/>
      <c r="J67" s="179"/>
      <c r="K67" s="179">
        <v>14.275259999999999</v>
      </c>
      <c r="L67" s="179"/>
      <c r="M67" s="179"/>
      <c r="N67" s="179"/>
      <c r="O67" s="179"/>
      <c r="P67" s="179"/>
      <c r="Q67" s="179">
        <v>1.964496</v>
      </c>
      <c r="R67" s="179">
        <v>116.420406</v>
      </c>
      <c r="S67" s="179">
        <f t="shared" si="63"/>
        <v>132.66016200000001</v>
      </c>
      <c r="T67" s="179">
        <f t="shared" ref="T67:T68" si="70">SUM(G67:R67)</f>
        <v>132.66016200000001</v>
      </c>
      <c r="U67" s="96"/>
      <c r="V67" s="135"/>
      <c r="W67" s="135"/>
      <c r="X67" s="179"/>
      <c r="Y67" s="179">
        <v>3.045725</v>
      </c>
      <c r="Z67" s="179"/>
      <c r="AA67" s="179"/>
      <c r="AB67" s="179"/>
      <c r="AC67" s="179"/>
      <c r="AD67" s="179">
        <v>0.87536930000000002</v>
      </c>
      <c r="AE67" s="179"/>
      <c r="AF67" s="179"/>
      <c r="AG67" s="179">
        <v>4.617909</v>
      </c>
      <c r="AH67" s="179">
        <f t="shared" ref="AH67:AH68" si="71">SUM(V67:AG67)</f>
        <v>8.539003300000001</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2"/>
    </row>
    <row r="68" spans="2:64" s="182" customFormat="1" ht="14.25" customHeight="1">
      <c r="B68" s="181"/>
      <c r="C68" s="817"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68" s="818" t="str">
        <f>IF(Indice_index!$Z$1=1,"Receita","Revenue")</f>
        <v>Receita</v>
      </c>
      <c r="E68" s="179" t="s">
        <v>58</v>
      </c>
      <c r="F68" s="96"/>
      <c r="G68" s="135"/>
      <c r="H68" s="135"/>
      <c r="I68" s="179"/>
      <c r="J68" s="179"/>
      <c r="K68" s="179"/>
      <c r="L68" s="179"/>
      <c r="M68" s="179"/>
      <c r="N68" s="179"/>
      <c r="O68" s="179"/>
      <c r="P68" s="179"/>
      <c r="Q68" s="179"/>
      <c r="R68" s="179"/>
      <c r="S68" s="179">
        <f t="shared" si="63"/>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2"/>
    </row>
    <row r="69" spans="2:64" s="182" customFormat="1" ht="22.5">
      <c r="B69" s="181"/>
      <c r="C69" s="817"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Atualização do valor de referência anual da prestação social de inclusão pela Portaria n.º 5/2021, de 6 de janeiro, com efeitos retroativos a partir de 1 de outubro de 2020.</v>
      </c>
      <c r="D69" s="818" t="str">
        <f>IF(Indice_index!$Z$1=1,"Receita","Revenue")</f>
        <v>Receita</v>
      </c>
      <c r="E69" s="179" t="s">
        <v>58</v>
      </c>
      <c r="F69" s="96"/>
      <c r="G69" s="135"/>
      <c r="H69" s="135"/>
      <c r="I69" s="179">
        <v>87.3</v>
      </c>
      <c r="J69" s="179"/>
      <c r="K69" s="179"/>
      <c r="L69" s="179"/>
      <c r="M69" s="179"/>
      <c r="N69" s="179"/>
      <c r="O69" s="179"/>
      <c r="P69" s="179"/>
      <c r="Q69" s="179"/>
      <c r="R69" s="179"/>
      <c r="S69" s="179">
        <f t="shared" si="63"/>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2"/>
    </row>
    <row r="70" spans="2:64" s="182" customFormat="1" ht="15.75">
      <c r="B70" s="181"/>
      <c r="C70" s="820" t="str">
        <f>IF(Indice_index!$Z$1=1,"Alienação de aeronaves à República da Roménia","Aircraft sales to the Republic of Romenia")</f>
        <v>Alienação de aeronaves à República da Roménia</v>
      </c>
      <c r="D70" s="821" t="str">
        <f>IF(Indice_index!$Z$1=1,"Receita","Revenue")</f>
        <v>Receita</v>
      </c>
      <c r="E70" s="822" t="s">
        <v>22</v>
      </c>
      <c r="F70" s="823"/>
      <c r="G70" s="824"/>
      <c r="H70" s="824">
        <v>26.836077</v>
      </c>
      <c r="I70" s="822"/>
      <c r="J70" s="822"/>
      <c r="K70" s="822"/>
      <c r="L70" s="822"/>
      <c r="M70" s="822"/>
      <c r="N70" s="822"/>
      <c r="O70" s="822"/>
      <c r="P70" s="822"/>
      <c r="Q70" s="822"/>
      <c r="R70" s="822"/>
      <c r="S70" s="822">
        <f t="shared" si="63"/>
        <v>26.836077</v>
      </c>
      <c r="T70" s="822">
        <f>SUM(G70:R70)</f>
        <v>26.836077</v>
      </c>
      <c r="U70" s="823"/>
      <c r="V70" s="824"/>
      <c r="W70" s="824"/>
      <c r="X70" s="822">
        <v>30</v>
      </c>
      <c r="Y70" s="822"/>
      <c r="Z70" s="822"/>
      <c r="AA70" s="822"/>
      <c r="AB70" s="822"/>
      <c r="AC70" s="822"/>
      <c r="AD70" s="822"/>
      <c r="AE70" s="822"/>
      <c r="AF70" s="822"/>
      <c r="AG70" s="822"/>
      <c r="AH70" s="822">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2"/>
    </row>
    <row r="71" spans="2:64" s="182" customFormat="1" ht="22.5">
      <c r="B71" s="181"/>
      <c r="C71" s="817" t="str">
        <f>IF(Indice_index!$Z$1=1,C130,C131)</f>
        <v>Pagamentos de encargos para sistemas de segurança social, realizados em janeiro mas respeitantes ao ano anterior, pelos Estabelecimentos de Educação e Ensinos Básico e Secundário.</v>
      </c>
      <c r="D71" s="631" t="str">
        <f>IF(Indice_index!$Z$1=1,"Despesa","Expenditure")</f>
        <v>Despesa</v>
      </c>
      <c r="E71" s="179" t="s">
        <v>27</v>
      </c>
      <c r="F71" s="111"/>
      <c r="G71" s="135">
        <v>38.25415211</v>
      </c>
      <c r="H71" s="135"/>
      <c r="I71" s="179"/>
      <c r="J71" s="179"/>
      <c r="K71" s="179"/>
      <c r="L71" s="179"/>
      <c r="M71" s="179"/>
      <c r="N71" s="179"/>
      <c r="O71" s="179"/>
      <c r="P71" s="179"/>
      <c r="Q71" s="179"/>
      <c r="R71" s="179"/>
      <c r="S71" s="179">
        <f t="shared" si="63"/>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2"/>
    </row>
    <row r="72" spans="2:64" s="182" customFormat="1" ht="25.5" customHeight="1">
      <c r="B72" s="181"/>
      <c r="C72" s="817"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2" s="631" t="str">
        <f>IF(Indice_index!$Z$1=1,"Despesa","Expenditure")</f>
        <v>Despesa</v>
      </c>
      <c r="E72" s="179" t="s">
        <v>85</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3"/>
        <v>1031.3368335800001</v>
      </c>
      <c r="T72" s="179">
        <f t="shared" ref="T72:T85" si="74">SUM(G72:R72)</f>
        <v>1031.3368335800001</v>
      </c>
      <c r="U72" s="111"/>
      <c r="V72" s="135"/>
      <c r="W72" s="135"/>
      <c r="X72" s="179"/>
      <c r="Y72" s="179"/>
      <c r="Z72" s="179"/>
      <c r="AA72" s="179"/>
      <c r="AB72" s="179"/>
      <c r="AC72" s="179"/>
      <c r="AD72" s="179"/>
      <c r="AE72" s="179"/>
      <c r="AF72" s="179"/>
      <c r="AG72" s="179">
        <v>1024.7543821199999</v>
      </c>
      <c r="AH72" s="179">
        <f>SUM(V72:AG72)</f>
        <v>1024.7543821199999</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2"/>
    </row>
    <row r="73" spans="2:64" s="182" customFormat="1" ht="33.75">
      <c r="B73" s="181"/>
      <c r="C73" s="817" t="str">
        <f>IF(Indice_index!$Z$1=1,C133,C134)</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73" s="631" t="str">
        <f>IF(Indice_index!$Z$1=1,"Despesa","Expenditure")</f>
        <v>Despesa</v>
      </c>
      <c r="E73" s="179" t="s">
        <v>28</v>
      </c>
      <c r="F73" s="111"/>
      <c r="G73" s="135"/>
      <c r="H73" s="135"/>
      <c r="I73" s="179"/>
      <c r="J73" s="179"/>
      <c r="K73" s="179"/>
      <c r="L73" s="179"/>
      <c r="M73" s="179"/>
      <c r="N73" s="179"/>
      <c r="O73" s="179"/>
      <c r="P73" s="179"/>
      <c r="Q73" s="179"/>
      <c r="R73" s="179">
        <v>-115.58609199999999</v>
      </c>
      <c r="S73" s="179">
        <f t="shared" si="63"/>
        <v>-115.58609199999999</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2"/>
    </row>
    <row r="74" spans="2:64" s="182" customFormat="1" ht="22.5">
      <c r="B74" s="181"/>
      <c r="C74" s="817" t="str">
        <f>IF(Indice_index!$Z$1=1,C158,C159)</f>
        <v>Pagamento à parceria público-privada do Hospital de Loures, efetuado em janeiro de 2022, decorrente de decisão arbitral de tribunal.</v>
      </c>
      <c r="D74" s="631" t="str">
        <f>IF(Indice_index!$Z$1=1,"Despesa","Expenditure")</f>
        <v>Despesa</v>
      </c>
      <c r="E74" s="179" t="s">
        <v>28</v>
      </c>
      <c r="F74" s="111"/>
      <c r="G74" s="135"/>
      <c r="H74" s="135"/>
      <c r="I74" s="179"/>
      <c r="J74" s="179"/>
      <c r="K74" s="179"/>
      <c r="L74" s="179"/>
      <c r="M74" s="179"/>
      <c r="N74" s="179"/>
      <c r="O74" s="179"/>
      <c r="P74" s="179"/>
      <c r="Q74" s="179"/>
      <c r="R74" s="179"/>
      <c r="S74" s="179">
        <f t="shared" si="63"/>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2"/>
    </row>
    <row r="75" spans="2:64" s="182" customFormat="1" ht="26.25" customHeight="1">
      <c r="B75" s="181"/>
      <c r="C75" s="817" t="str">
        <f>IF(Indice_index!$Z$1=1,C136,C137)</f>
        <v>Devolução pelo Fundo Europeu de Estabilização Financeira (FEEF) ao Estado português, da rentabilidade das prepaid margins retida aquando do desembolso inicial do empréstimo do PAEF.</v>
      </c>
      <c r="D75" s="631" t="str">
        <f>IF(Indice_index!$Z$1=1,"Despesa","Expenditure")</f>
        <v>Despesa</v>
      </c>
      <c r="E75" s="179" t="s">
        <v>29</v>
      </c>
      <c r="F75" s="111"/>
      <c r="G75" s="135"/>
      <c r="H75" s="135"/>
      <c r="I75" s="179"/>
      <c r="J75" s="179"/>
      <c r="K75" s="179"/>
      <c r="L75" s="179"/>
      <c r="M75" s="179">
        <v>-286.65263454000001</v>
      </c>
      <c r="N75" s="179"/>
      <c r="O75" s="179"/>
      <c r="P75" s="179"/>
      <c r="Q75" s="179"/>
      <c r="R75" s="179"/>
      <c r="S75" s="179">
        <f>SUM(G75:R75)</f>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2"/>
    </row>
    <row r="76" spans="2:64" s="182" customFormat="1" ht="34.5" customHeight="1">
      <c r="B76" s="181"/>
      <c r="C76" s="817" t="str">
        <f>IF(Indice_index!$Z$1=1,C139,C140)</f>
        <v>Transferências correntes - compensação faseada às autarquias relativamente às transferências efetivadas em 2018 ao abrigo da Lei de Finanças Locais - art. 5.º da Lei n.º 73/2013, de 3 de setembro, na redação pela Lei n.º 51/2018, 16 de agosto.</v>
      </c>
      <c r="D76" s="631" t="str">
        <f>IF(Indice_index!$Z$1=1,"Despesa","Expenditure")</f>
        <v>Despesa</v>
      </c>
      <c r="E76" s="135" t="s">
        <v>85</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3"/>
        <v>23.504823999999996</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v>14.092358000000004</v>
      </c>
      <c r="AF76" s="1257"/>
      <c r="AG76" s="1257"/>
      <c r="AH76" s="179">
        <f t="shared" si="68"/>
        <v>56.354123000000001</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2"/>
    </row>
    <row r="77" spans="2:64" s="182" customFormat="1" ht="33.75">
      <c r="B77" s="181"/>
      <c r="C77" s="817"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77" s="631" t="str">
        <f>IF(Indice_index!$Z$1=1,"Despesa","Expenditure")</f>
        <v>Despesa</v>
      </c>
      <c r="E77" s="135" t="s">
        <v>31</v>
      </c>
      <c r="F77" s="96"/>
      <c r="G77" s="135"/>
      <c r="H77" s="135"/>
      <c r="I77" s="135"/>
      <c r="J77" s="135"/>
      <c r="K77" s="135"/>
      <c r="L77" s="135"/>
      <c r="M77" s="135">
        <v>10.34</v>
      </c>
      <c r="N77" s="135"/>
      <c r="O77" s="135"/>
      <c r="P77" s="135"/>
      <c r="Q77" s="135"/>
      <c r="R77" s="135"/>
      <c r="S77" s="179">
        <f t="shared" si="63"/>
        <v>10.34</v>
      </c>
      <c r="T77" s="179">
        <f t="shared" si="74"/>
        <v>10.34</v>
      </c>
      <c r="U77" s="96"/>
      <c r="V77" s="135"/>
      <c r="W77" s="135">
        <v>4.16</v>
      </c>
      <c r="X77" s="179"/>
      <c r="Y77" s="179"/>
      <c r="Z77" s="179"/>
      <c r="AA77" s="179"/>
      <c r="AB77" s="179"/>
      <c r="AC77" s="179"/>
      <c r="AD77" s="179"/>
      <c r="AE77" s="179">
        <v>8</v>
      </c>
      <c r="AF77" s="179"/>
      <c r="AG77" s="1258"/>
      <c r="AH77" s="179">
        <f t="shared" ref="AH77:AH81" si="77">SUM(V77:AG77)</f>
        <v>12.16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2"/>
    </row>
    <row r="78" spans="2:64" s="182" customFormat="1" ht="33.75">
      <c r="B78" s="181"/>
      <c r="C78" s="817" t="str">
        <f>IF(Indice_index!$Z$1=1,C142,C143)</f>
        <v>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v>
      </c>
      <c r="D78" s="631" t="str">
        <f>IF(Indice_index!$Z$1=1,"Despesa","Expenditure")</f>
        <v>Despesa</v>
      </c>
      <c r="E78" s="135" t="s">
        <v>31</v>
      </c>
      <c r="F78" s="96"/>
      <c r="G78" s="135"/>
      <c r="H78" s="135"/>
      <c r="I78" s="135">
        <v>87.3</v>
      </c>
      <c r="J78" s="135"/>
      <c r="K78" s="135"/>
      <c r="L78" s="135"/>
      <c r="M78" s="135"/>
      <c r="N78" s="135"/>
      <c r="O78" s="135"/>
      <c r="P78" s="135"/>
      <c r="Q78" s="135"/>
      <c r="R78" s="135"/>
      <c r="S78" s="179">
        <f t="shared" si="63"/>
        <v>87.3</v>
      </c>
      <c r="T78" s="179">
        <f t="shared" si="74"/>
        <v>87.3</v>
      </c>
      <c r="U78" s="96"/>
      <c r="V78" s="135"/>
      <c r="W78" s="135"/>
      <c r="X78" s="179"/>
      <c r="Y78" s="179"/>
      <c r="Z78" s="179"/>
      <c r="AA78" s="179"/>
      <c r="AB78" s="179"/>
      <c r="AC78" s="179"/>
      <c r="AD78" s="179"/>
      <c r="AE78" s="179"/>
      <c r="AF78" s="179"/>
      <c r="AG78" s="1258"/>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2"/>
    </row>
    <row r="79" spans="2:64" s="182" customFormat="1" ht="25.5" customHeight="1">
      <c r="B79" s="181"/>
      <c r="C79" s="817" t="str">
        <f>IF(Indice_index!$Z$1=1,C146,C147)</f>
        <v>Alteração da contabilização da despesa suportada pela Direção-Geral do Tesouro e Finanças no âmbito do programa “IVAucher”, de "Outras despesas correntes" para "Subsídios".</v>
      </c>
      <c r="D79" s="631" t="str">
        <f>IF(Indice_index!$Z$1=1,"Despesa","Expenditure")</f>
        <v>Despesa</v>
      </c>
      <c r="E79" s="135" t="s">
        <v>32</v>
      </c>
      <c r="F79" s="96"/>
      <c r="G79" s="135"/>
      <c r="H79" s="135"/>
      <c r="I79" s="135"/>
      <c r="J79" s="135"/>
      <c r="K79" s="135"/>
      <c r="L79" s="135"/>
      <c r="M79" s="135"/>
      <c r="N79" s="135"/>
      <c r="O79" s="135">
        <v>47.518923000000001</v>
      </c>
      <c r="P79" s="135"/>
      <c r="Q79" s="135">
        <v>-47.518923000000001</v>
      </c>
      <c r="R79" s="135"/>
      <c r="S79" s="179">
        <f t="shared" si="63"/>
        <v>0</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2"/>
    </row>
    <row r="80" spans="2:64" s="182" customFormat="1" ht="22.5">
      <c r="B80" s="181"/>
      <c r="C80" s="817" t="str">
        <f>IF(Indice_index!$Z$1=1,C146,C147)</f>
        <v>Alteração da contabilização da despesa suportada pela Direção-Geral do Tesouro e Finanças no âmbito do programa “IVAucher”, de "Outras despesas correntes" para "Subsídios".</v>
      </c>
      <c r="D80" s="631" t="str">
        <f>IF(Indice_index!$Z$1=1,"Despesa","Expenditure")</f>
        <v>Despesa</v>
      </c>
      <c r="E80" s="135" t="s">
        <v>33</v>
      </c>
      <c r="F80" s="96"/>
      <c r="G80" s="135"/>
      <c r="H80" s="135"/>
      <c r="I80" s="135"/>
      <c r="J80" s="135"/>
      <c r="K80" s="135"/>
      <c r="L80" s="135"/>
      <c r="M80" s="135"/>
      <c r="N80" s="135"/>
      <c r="O80" s="135">
        <v>-47.518923000000001</v>
      </c>
      <c r="P80" s="135"/>
      <c r="Q80" s="135">
        <v>47.518923000000001</v>
      </c>
      <c r="R80" s="135"/>
      <c r="S80" s="179">
        <f t="shared" si="63"/>
        <v>0</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2"/>
    </row>
    <row r="81" spans="2:64" s="182" customFormat="1" ht="15.75">
      <c r="B81" s="181"/>
      <c r="C81" s="817" t="str">
        <f>IF(Indice_index!$Z$1=1,"Metropolitano de Lisboa, E.P.E. – pagamento final respeitante à aquisição de material circulante.","Metropolitano de Lisboa, E.P.E. - final payment related to the acquisition of a rolling stock.")</f>
        <v>Metropolitano de Lisboa, E.P.E. – pagamento final respeitante à aquisição de material circulante.</v>
      </c>
      <c r="D81" s="631" t="str">
        <f>IF(Indice_index!$Z$1=1,"Despesa","Expenditure")</f>
        <v>Despesa</v>
      </c>
      <c r="E81" s="135" t="s">
        <v>34</v>
      </c>
      <c r="F81" s="96"/>
      <c r="G81" s="135"/>
      <c r="H81" s="135"/>
      <c r="I81" s="135"/>
      <c r="J81" s="135"/>
      <c r="K81" s="135"/>
      <c r="L81" s="135"/>
      <c r="M81" s="135"/>
      <c r="N81" s="135"/>
      <c r="O81" s="135">
        <v>52.777777999999998</v>
      </c>
      <c r="P81" s="135"/>
      <c r="Q81" s="135"/>
      <c r="R81" s="135"/>
      <c r="S81" s="179">
        <f t="shared" si="63"/>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2"/>
    </row>
    <row r="82" spans="2:64" s="182" customFormat="1" ht="15.75">
      <c r="B82" s="181"/>
      <c r="C82" s="817" t="str">
        <f>IF(Indice_index!$Z$1=1,"Pagamento de decisão judicial à concessionária RAL.","Payment of court decision to the RAL concessionaire.")</f>
        <v>Pagamento de decisão judicial à concessionária RAL.</v>
      </c>
      <c r="D82" s="631" t="str">
        <f>IF(Indice_index!$Z$1=1,"Despesa","Expenditure")</f>
        <v>Despesa</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3"/>
        <v>48.886000000000003</v>
      </c>
      <c r="T82" s="179">
        <f>SUM(G82:R82)</f>
        <v>48.886000000000003</v>
      </c>
      <c r="U82" s="96"/>
      <c r="V82" s="135">
        <v>1.55325132</v>
      </c>
      <c r="W82" s="135"/>
      <c r="X82" s="179">
        <v>3.1065026400000004</v>
      </c>
      <c r="Y82" s="179">
        <v>1.5532513199999993</v>
      </c>
      <c r="Z82" s="179">
        <v>1.5532513200000002</v>
      </c>
      <c r="AA82" s="179">
        <v>1.5532513199999993</v>
      </c>
      <c r="AB82" s="179">
        <v>1.5532513200000011</v>
      </c>
      <c r="AC82" s="179">
        <v>1.5532513199999993</v>
      </c>
      <c r="AD82" s="179">
        <v>1.5532513200000011</v>
      </c>
      <c r="AE82" s="179">
        <v>1.5532513199999993</v>
      </c>
      <c r="AF82" s="179">
        <v>1.5532513200000047</v>
      </c>
      <c r="AG82" s="179">
        <v>1.5532513199999975</v>
      </c>
      <c r="AH82" s="179">
        <f>SUM(V82:AG82)</f>
        <v>18.639015840000003</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2"/>
    </row>
    <row r="83" spans="2:64" s="182" customFormat="1" ht="15.75">
      <c r="B83" s="181"/>
      <c r="C83" s="817" t="str">
        <f>IF(Indice_index!$Z$1=1,"Acertos de disponibilidade relativos a anos anteriores à concessionária do Baixo Tejo.","Availability adjustments relating to prior years of the Baixo Tejo concessionaire.")</f>
        <v>Acertos de disponibilidade relativos a anos anteriores à concessionária do Baixo Tejo.</v>
      </c>
      <c r="D83" s="631" t="str">
        <f>IF(Indice_index!$Z$1=1,"Despesa","Expenditure")</f>
        <v>Despesa</v>
      </c>
      <c r="E83" s="135" t="s">
        <v>34</v>
      </c>
      <c r="F83" s="96"/>
      <c r="G83" s="135"/>
      <c r="H83" s="135"/>
      <c r="I83" s="135"/>
      <c r="J83" s="135"/>
      <c r="K83" s="135"/>
      <c r="L83" s="135"/>
      <c r="M83" s="135">
        <v>88.843098080000004</v>
      </c>
      <c r="N83" s="135"/>
      <c r="O83" s="135"/>
      <c r="P83" s="135"/>
      <c r="Q83" s="135"/>
      <c r="R83" s="135"/>
      <c r="S83" s="179">
        <f t="shared" si="63"/>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2"/>
    </row>
    <row r="84" spans="2:64" s="182" customFormat="1" ht="34.5" customHeight="1">
      <c r="B84" s="181"/>
      <c r="C84" s="817" t="str">
        <f>IF(Indice_index!$Z$1=1,C149,C150)</f>
        <v>Transferências de capital - compensação faseada às autarquias relativamente às transferências efetivadas em 2018 ao abrigo da Lei de Finanças Locais - art.º 5.º da Lei n.º 73/2013, de 3 de setembro, na redação pela Lei n.º 51/2018, 16 de agosto.</v>
      </c>
      <c r="D84" s="631" t="str">
        <f>IF(Indice_index!$Z$1=1,"Despesa","Expenditure")</f>
        <v>Despesa</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3"/>
        <v>166.57651899999996</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v>-5.7011480000000034</v>
      </c>
      <c r="AF84" s="179">
        <v>-5.7011480000000034</v>
      </c>
      <c r="AG84" s="179">
        <v>-5.7016920000000297</v>
      </c>
      <c r="AH84" s="179">
        <f t="shared" ref="AH84:AH85" si="80">SUM(V84:AG84)</f>
        <v>49.262622999999969</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2"/>
    </row>
    <row r="85" spans="2:64" s="182" customFormat="1" ht="25.5" customHeight="1">
      <c r="B85" s="181"/>
      <c r="C85" s="817" t="str">
        <f>IF(Indice_index!$Z$1=1,C152,C153)</f>
        <v>Pagamentos realizados pelo Fundo de Resolução ao Novo Banco, ao abrigo do Acordo de Capitalização Contingente, celebrado entre as duas entidades em outubro de 2017.</v>
      </c>
      <c r="D85" s="631" t="str">
        <f>IF(Indice_index!$Z$1=1,"Despesa","Expenditure")</f>
        <v>Despesa</v>
      </c>
      <c r="E85" s="135" t="s">
        <v>37</v>
      </c>
      <c r="F85" s="96"/>
      <c r="G85" s="135"/>
      <c r="H85" s="135"/>
      <c r="I85" s="135"/>
      <c r="J85" s="135"/>
      <c r="K85" s="135"/>
      <c r="L85" s="135">
        <v>317.012629</v>
      </c>
      <c r="M85" s="135"/>
      <c r="N85" s="135"/>
      <c r="O85" s="135"/>
      <c r="P85" s="135"/>
      <c r="Q85" s="135"/>
      <c r="R85" s="135">
        <v>112</v>
      </c>
      <c r="S85" s="179">
        <f t="shared" si="63"/>
        <v>429.012629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2"/>
    </row>
    <row r="86" spans="2:64" s="182" customFormat="1" ht="21.75" customHeight="1">
      <c r="B86" s="181"/>
      <c r="C86" s="1266"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86" s="1267" t="str">
        <f>IF(Indice_index!$Z$1=1,"Despesa","Expenditure")</f>
        <v>Despesa</v>
      </c>
      <c r="E86" s="983" t="s">
        <v>37</v>
      </c>
      <c r="F86" s="1268"/>
      <c r="G86" s="983"/>
      <c r="H86" s="983"/>
      <c r="I86" s="983"/>
      <c r="J86" s="983"/>
      <c r="K86" s="983"/>
      <c r="L86" s="983"/>
      <c r="M86" s="983"/>
      <c r="N86" s="983"/>
      <c r="O86" s="983"/>
      <c r="P86" s="983"/>
      <c r="Q86" s="983">
        <v>21.777260999999999</v>
      </c>
      <c r="R86" s="983">
        <v>112.65037024</v>
      </c>
      <c r="S86" s="1269">
        <f t="shared" si="63"/>
        <v>134.42763124000001</v>
      </c>
      <c r="T86" s="1269">
        <f>SUM(G86:R86)</f>
        <v>134.42763124000001</v>
      </c>
      <c r="U86" s="1268"/>
      <c r="V86" s="983"/>
      <c r="W86" s="983"/>
      <c r="X86" s="1269"/>
      <c r="Y86" s="1269"/>
      <c r="Z86" s="1269"/>
      <c r="AA86" s="1269"/>
      <c r="AB86" s="1269"/>
      <c r="AC86" s="1269"/>
      <c r="AD86" s="1269"/>
      <c r="AE86" s="1269"/>
      <c r="AF86" s="1269"/>
      <c r="AG86" s="1269">
        <v>130.053</v>
      </c>
      <c r="AH86" s="1269">
        <f t="shared" si="68"/>
        <v>130.053</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2"/>
    </row>
    <row r="87" spans="2:64" s="182" customFormat="1" ht="4.5" customHeight="1">
      <c r="B87" s="181"/>
      <c r="C87" s="817"/>
      <c r="D87" s="631"/>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2"/>
    </row>
    <row r="88" spans="2:64" s="180" customFormat="1" ht="22.5" customHeight="1">
      <c r="B88" s="177"/>
      <c r="C88" s="1806" t="str">
        <f>IF(Indice_index!$Z$1=1,C155,C156)</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88" s="1806"/>
      <c r="E88" s="1806"/>
      <c r="F88" s="1806"/>
      <c r="G88" s="1806"/>
      <c r="H88" s="1806"/>
      <c r="I88" s="1806"/>
      <c r="J88" s="1806"/>
      <c r="K88" s="1806"/>
      <c r="L88" s="1806"/>
      <c r="M88" s="1806"/>
      <c r="N88" s="1806"/>
      <c r="O88" s="1806"/>
      <c r="P88" s="1806"/>
      <c r="Q88" s="1806"/>
      <c r="R88" s="1806"/>
      <c r="S88" s="1806"/>
      <c r="T88" s="1806"/>
      <c r="U88" s="1806"/>
      <c r="V88" s="1806"/>
      <c r="W88" s="1806"/>
      <c r="X88" s="1806"/>
      <c r="Y88" s="1806"/>
      <c r="Z88" s="1806"/>
      <c r="AA88" s="1806"/>
      <c r="AB88" s="1806"/>
      <c r="AC88" s="1806"/>
      <c r="AD88" s="1806"/>
      <c r="AE88" s="1806"/>
      <c r="AF88" s="1806"/>
      <c r="AG88" s="1806"/>
      <c r="AH88" s="1806"/>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2"/>
    </row>
    <row r="89" spans="2:64" s="180" customFormat="1" ht="4.5" customHeight="1">
      <c r="B89" s="177"/>
      <c r="C89" s="1259"/>
      <c r="D89" s="1259"/>
      <c r="E89" s="1259"/>
      <c r="F89" s="1259"/>
      <c r="G89" s="1259"/>
      <c r="H89" s="1259"/>
      <c r="I89" s="1259"/>
      <c r="J89" s="1259"/>
      <c r="K89" s="1259"/>
      <c r="L89" s="1259"/>
      <c r="M89" s="1259"/>
      <c r="N89" s="1259"/>
      <c r="O89" s="1259"/>
      <c r="P89" s="1259"/>
      <c r="Q89" s="1259"/>
      <c r="R89" s="1259"/>
      <c r="S89" s="1259"/>
      <c r="T89" s="1259"/>
      <c r="U89" s="1259"/>
      <c r="V89" s="1259"/>
      <c r="W89" s="1259"/>
      <c r="X89" s="1259"/>
      <c r="Y89" s="1259"/>
      <c r="Z89" s="1259"/>
      <c r="AA89" s="1259"/>
      <c r="AB89" s="1259"/>
      <c r="AC89" s="1259"/>
      <c r="AD89" s="1259"/>
      <c r="AE89" s="1259"/>
      <c r="AF89" s="1259"/>
      <c r="AG89" s="1259"/>
      <c r="AH89" s="1259"/>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2"/>
    </row>
    <row r="90" spans="2:64" s="180" customFormat="1" ht="15" customHeight="1">
      <c r="C90" s="1260" t="str">
        <f>IF(Indice_index!$Z$1=1,"Notas:","Notes:")</f>
        <v>Notas:</v>
      </c>
      <c r="D90" s="1261"/>
      <c r="E90" s="1262"/>
      <c r="F90" s="96"/>
      <c r="G90" s="1261"/>
      <c r="H90" s="1261"/>
      <c r="U90" s="96"/>
      <c r="V90" s="1261"/>
      <c r="W90" s="1261"/>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2"/>
    </row>
    <row r="91" spans="2:64" s="180" customFormat="1" ht="15" customHeight="1">
      <c r="C91" s="1261"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1" s="1263"/>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2"/>
    </row>
    <row r="92" spans="2:64" s="180" customFormat="1" ht="15" customHeight="1">
      <c r="C92" s="1264"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2" s="1263"/>
      <c r="F92" s="96"/>
      <c r="P92" s="175"/>
      <c r="S92" s="175"/>
      <c r="T92" s="1265"/>
      <c r="U92" s="96"/>
      <c r="AH92" s="1265"/>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2"/>
    </row>
    <row r="93" spans="2:64" s="180" customFormat="1" ht="15" customHeight="1">
      <c r="C93" s="1264"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3" s="1263"/>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2"/>
    </row>
    <row r="94" spans="2:64" s="180" customFormat="1" ht="4.5" customHeight="1">
      <c r="C94" s="1264"/>
      <c r="E94" s="1263"/>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2"/>
    </row>
    <row r="95" spans="2:64" s="180" customFormat="1" ht="15" customHeight="1">
      <c r="C95" s="667" t="str">
        <f>IF(Indice_index!$Z$1=1,"Fonte: Direção-Geral do Orçamento","Source: Budget General Directorate")</f>
        <v>Fonte: Direção-Geral do Orçamento</v>
      </c>
      <c r="E95" s="1263"/>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2"/>
    </row>
    <row r="96" spans="2:64" s="180" customFormat="1">
      <c r="C96" s="667"/>
      <c r="D96" s="668"/>
      <c r="E96" s="669"/>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2"/>
    </row>
    <row r="97" spans="3:64" s="570" customFormat="1">
      <c r="D97" s="670"/>
      <c r="E97" s="671"/>
      <c r="F97" s="571"/>
      <c r="G97" s="672">
        <f t="shared" ref="G97:T97" si="81">+G43-G55</f>
        <v>0</v>
      </c>
      <c r="H97" s="672">
        <f t="shared" si="81"/>
        <v>0</v>
      </c>
      <c r="I97" s="672">
        <f t="shared" si="81"/>
        <v>0</v>
      </c>
      <c r="J97" s="672">
        <f t="shared" si="81"/>
        <v>0</v>
      </c>
      <c r="K97" s="672">
        <f t="shared" si="81"/>
        <v>0</v>
      </c>
      <c r="L97" s="672">
        <f t="shared" si="81"/>
        <v>0</v>
      </c>
      <c r="M97" s="672">
        <f t="shared" si="81"/>
        <v>0</v>
      </c>
      <c r="N97" s="672">
        <f t="shared" si="81"/>
        <v>0</v>
      </c>
      <c r="O97" s="672">
        <f t="shared" si="81"/>
        <v>0</v>
      </c>
      <c r="P97" s="672">
        <f t="shared" si="81"/>
        <v>0</v>
      </c>
      <c r="Q97" s="672">
        <f t="shared" si="81"/>
        <v>0</v>
      </c>
      <c r="R97" s="672">
        <f t="shared" si="81"/>
        <v>0</v>
      </c>
      <c r="S97" s="672">
        <f t="shared" si="81"/>
        <v>-6.8212102632969618E-13</v>
      </c>
      <c r="T97" s="672">
        <f t="shared" si="81"/>
        <v>-4.5474735088646412E-13</v>
      </c>
      <c r="U97" s="672"/>
      <c r="V97" s="672">
        <f t="shared" ref="V97:AH97" si="82">+V43-V55</f>
        <v>0</v>
      </c>
      <c r="W97" s="672">
        <f t="shared" si="82"/>
        <v>0</v>
      </c>
      <c r="X97" s="672">
        <f t="shared" si="82"/>
        <v>0</v>
      </c>
      <c r="Y97" s="672">
        <f t="shared" si="82"/>
        <v>0</v>
      </c>
      <c r="Z97" s="672">
        <f t="shared" si="82"/>
        <v>0</v>
      </c>
      <c r="AA97" s="672">
        <f t="shared" si="82"/>
        <v>0</v>
      </c>
      <c r="AB97" s="672">
        <f t="shared" si="82"/>
        <v>0</v>
      </c>
      <c r="AC97" s="672">
        <f t="shared" si="82"/>
        <v>0</v>
      </c>
      <c r="AD97" s="672">
        <f t="shared" si="82"/>
        <v>0</v>
      </c>
      <c r="AE97" s="672">
        <f t="shared" si="82"/>
        <v>0</v>
      </c>
      <c r="AF97" s="672">
        <f t="shared" si="82"/>
        <v>0</v>
      </c>
      <c r="AG97" s="672">
        <f t="shared" si="82"/>
        <v>0</v>
      </c>
      <c r="AH97" s="672">
        <f t="shared" si="82"/>
        <v>0</v>
      </c>
      <c r="AI97" s="571"/>
      <c r="AJ97" s="571"/>
      <c r="BL97" s="572"/>
    </row>
    <row r="98" spans="3:64" s="570" customFormat="1">
      <c r="E98" s="573"/>
      <c r="F98" s="571"/>
      <c r="G98" s="570">
        <f t="shared" ref="G98:T98" si="83">SUM(G56:G70)-SUM(G71:G86)-G43</f>
        <v>0</v>
      </c>
      <c r="H98" s="570">
        <f t="shared" si="83"/>
        <v>0</v>
      </c>
      <c r="I98" s="570">
        <f t="shared" si="83"/>
        <v>0</v>
      </c>
      <c r="J98" s="570">
        <f t="shared" si="83"/>
        <v>0</v>
      </c>
      <c r="K98" s="570">
        <f t="shared" si="83"/>
        <v>0</v>
      </c>
      <c r="L98" s="570">
        <f t="shared" si="83"/>
        <v>0</v>
      </c>
      <c r="M98" s="570">
        <f t="shared" si="83"/>
        <v>0</v>
      </c>
      <c r="N98" s="570">
        <f t="shared" si="83"/>
        <v>0</v>
      </c>
      <c r="O98" s="570">
        <f t="shared" si="83"/>
        <v>0</v>
      </c>
      <c r="P98" s="570">
        <f t="shared" si="83"/>
        <v>0</v>
      </c>
      <c r="Q98" s="570">
        <f t="shared" si="83"/>
        <v>0</v>
      </c>
      <c r="R98" s="570">
        <f t="shared" si="83"/>
        <v>0</v>
      </c>
      <c r="S98" s="570">
        <f t="shared" si="83"/>
        <v>6.8212102632969618E-13</v>
      </c>
      <c r="T98" s="570">
        <f t="shared" si="83"/>
        <v>4.5474735088646412E-13</v>
      </c>
      <c r="V98" s="570">
        <f t="shared" ref="V98:AH98" si="84">SUM(V56:V70)-SUM(V71:V86)-V43</f>
        <v>0</v>
      </c>
      <c r="W98" s="570">
        <f t="shared" si="84"/>
        <v>0</v>
      </c>
      <c r="X98" s="570">
        <f t="shared" si="84"/>
        <v>0</v>
      </c>
      <c r="Y98" s="570">
        <f t="shared" si="84"/>
        <v>0</v>
      </c>
      <c r="Z98" s="570">
        <f t="shared" si="84"/>
        <v>0</v>
      </c>
      <c r="AA98" s="570">
        <f t="shared" si="84"/>
        <v>0</v>
      </c>
      <c r="AB98" s="570">
        <f t="shared" si="84"/>
        <v>0</v>
      </c>
      <c r="AC98" s="570">
        <f t="shared" si="84"/>
        <v>0</v>
      </c>
      <c r="AD98" s="570">
        <f t="shared" si="84"/>
        <v>0</v>
      </c>
      <c r="AE98" s="570">
        <f t="shared" si="84"/>
        <v>0</v>
      </c>
      <c r="AF98" s="570">
        <f t="shared" si="84"/>
        <v>0</v>
      </c>
      <c r="AG98" s="570">
        <f t="shared" si="84"/>
        <v>0</v>
      </c>
      <c r="AH98" s="570">
        <f t="shared" si="84"/>
        <v>0</v>
      </c>
      <c r="AI98" s="571"/>
      <c r="AJ98" s="571"/>
      <c r="BL98" s="572"/>
    </row>
    <row r="99" spans="3:64" s="574" customFormat="1">
      <c r="E99" s="575"/>
      <c r="F99" s="576"/>
      <c r="G99" s="570">
        <f t="shared" ref="G99:T99" si="85">SUM(G56:G70)-G23</f>
        <v>0</v>
      </c>
      <c r="H99" s="570">
        <f t="shared" si="85"/>
        <v>0</v>
      </c>
      <c r="I99" s="570">
        <f t="shared" si="85"/>
        <v>0</v>
      </c>
      <c r="J99" s="570">
        <f t="shared" si="85"/>
        <v>0</v>
      </c>
      <c r="K99" s="570">
        <f t="shared" si="85"/>
        <v>0</v>
      </c>
      <c r="L99" s="570">
        <f t="shared" si="85"/>
        <v>0</v>
      </c>
      <c r="M99" s="570">
        <f t="shared" si="85"/>
        <v>0</v>
      </c>
      <c r="N99" s="570">
        <f t="shared" si="85"/>
        <v>0</v>
      </c>
      <c r="O99" s="570">
        <f t="shared" si="85"/>
        <v>0</v>
      </c>
      <c r="P99" s="570">
        <f t="shared" si="85"/>
        <v>0</v>
      </c>
      <c r="Q99" s="570">
        <f t="shared" si="85"/>
        <v>0</v>
      </c>
      <c r="R99" s="570">
        <f t="shared" si="85"/>
        <v>0</v>
      </c>
      <c r="S99" s="570">
        <f t="shared" si="85"/>
        <v>0</v>
      </c>
      <c r="T99" s="570">
        <f t="shared" si="85"/>
        <v>0</v>
      </c>
      <c r="U99" s="570"/>
      <c r="V99" s="570">
        <f t="shared" ref="V99:AH99" si="86">SUM(V56:V70)-V23</f>
        <v>0</v>
      </c>
      <c r="W99" s="570">
        <f t="shared" si="86"/>
        <v>0</v>
      </c>
      <c r="X99" s="570">
        <f t="shared" si="86"/>
        <v>0</v>
      </c>
      <c r="Y99" s="570">
        <f t="shared" si="86"/>
        <v>0</v>
      </c>
      <c r="Z99" s="570">
        <f t="shared" si="86"/>
        <v>0</v>
      </c>
      <c r="AA99" s="570">
        <f t="shared" si="86"/>
        <v>0</v>
      </c>
      <c r="AB99" s="570">
        <f t="shared" si="86"/>
        <v>0</v>
      </c>
      <c r="AC99" s="570">
        <f t="shared" si="86"/>
        <v>0</v>
      </c>
      <c r="AD99" s="570">
        <f t="shared" si="86"/>
        <v>0</v>
      </c>
      <c r="AE99" s="570">
        <f t="shared" si="86"/>
        <v>0</v>
      </c>
      <c r="AF99" s="570">
        <f t="shared" si="86"/>
        <v>0</v>
      </c>
      <c r="AG99" s="570">
        <f t="shared" si="86"/>
        <v>0</v>
      </c>
      <c r="AH99" s="570">
        <f t="shared" si="86"/>
        <v>0</v>
      </c>
      <c r="AI99" s="576"/>
      <c r="AJ99" s="571"/>
      <c r="AK99" s="570"/>
      <c r="AL99" s="570"/>
      <c r="AM99" s="570"/>
      <c r="AN99" s="570"/>
      <c r="AO99" s="570"/>
      <c r="AP99" s="570"/>
      <c r="AQ99" s="570"/>
      <c r="AR99" s="570"/>
      <c r="AS99" s="570"/>
      <c r="AT99" s="570"/>
      <c r="AU99" s="570"/>
      <c r="AV99" s="570"/>
      <c r="AW99" s="570"/>
      <c r="AX99" s="570"/>
      <c r="AY99" s="570"/>
      <c r="AZ99" s="570"/>
      <c r="BA99" s="570"/>
      <c r="BB99" s="570"/>
      <c r="BC99" s="570"/>
      <c r="BD99" s="570"/>
      <c r="BE99" s="570"/>
      <c r="BF99" s="570"/>
      <c r="BG99" s="570"/>
      <c r="BH99" s="570"/>
      <c r="BI99" s="570"/>
      <c r="BJ99" s="570"/>
      <c r="BK99" s="570"/>
      <c r="BL99" s="572"/>
    </row>
    <row r="100" spans="3:64" s="574" customFormat="1">
      <c r="E100" s="575"/>
      <c r="F100" s="576"/>
      <c r="G100" s="570">
        <f t="shared" ref="G100:T100" si="87">SUM(G71:G86)-G41</f>
        <v>0</v>
      </c>
      <c r="H100" s="570">
        <f t="shared" si="87"/>
        <v>0</v>
      </c>
      <c r="I100" s="570">
        <f t="shared" si="87"/>
        <v>0</v>
      </c>
      <c r="J100" s="570">
        <f t="shared" si="87"/>
        <v>0</v>
      </c>
      <c r="K100" s="570">
        <f t="shared" si="87"/>
        <v>0</v>
      </c>
      <c r="L100" s="570">
        <f t="shared" si="87"/>
        <v>0</v>
      </c>
      <c r="M100" s="570">
        <f t="shared" si="87"/>
        <v>0</v>
      </c>
      <c r="N100" s="570">
        <f t="shared" si="87"/>
        <v>0</v>
      </c>
      <c r="O100" s="570">
        <f t="shared" si="87"/>
        <v>0</v>
      </c>
      <c r="P100" s="570">
        <f t="shared" si="87"/>
        <v>0</v>
      </c>
      <c r="Q100" s="570">
        <f t="shared" si="87"/>
        <v>0</v>
      </c>
      <c r="R100" s="570">
        <f t="shared" si="87"/>
        <v>0</v>
      </c>
      <c r="S100" s="570">
        <f t="shared" si="87"/>
        <v>0</v>
      </c>
      <c r="T100" s="570">
        <f t="shared" si="87"/>
        <v>0</v>
      </c>
      <c r="U100" s="570"/>
      <c r="V100" s="570">
        <f t="shared" ref="V100:AH100" si="88">SUM(V71:V86)-V41</f>
        <v>0</v>
      </c>
      <c r="W100" s="570">
        <f t="shared" si="88"/>
        <v>0</v>
      </c>
      <c r="X100" s="570">
        <f t="shared" si="88"/>
        <v>0</v>
      </c>
      <c r="Y100" s="570">
        <f t="shared" si="88"/>
        <v>0</v>
      </c>
      <c r="Z100" s="570">
        <f t="shared" si="88"/>
        <v>0</v>
      </c>
      <c r="AA100" s="570">
        <f t="shared" si="88"/>
        <v>0</v>
      </c>
      <c r="AB100" s="570">
        <f t="shared" si="88"/>
        <v>0</v>
      </c>
      <c r="AC100" s="570">
        <f t="shared" si="88"/>
        <v>0</v>
      </c>
      <c r="AD100" s="570">
        <f t="shared" si="88"/>
        <v>0</v>
      </c>
      <c r="AE100" s="570">
        <f t="shared" si="88"/>
        <v>0</v>
      </c>
      <c r="AF100" s="570">
        <f t="shared" si="88"/>
        <v>0</v>
      </c>
      <c r="AG100" s="570">
        <f t="shared" si="88"/>
        <v>0</v>
      </c>
      <c r="AH100" s="570">
        <f t="shared" si="88"/>
        <v>0</v>
      </c>
      <c r="AI100" s="576"/>
      <c r="AJ100" s="571"/>
      <c r="AK100" s="570"/>
      <c r="AL100" s="570"/>
      <c r="AM100" s="570"/>
      <c r="AN100" s="570"/>
      <c r="AO100" s="570"/>
      <c r="AP100" s="570"/>
      <c r="AQ100" s="570"/>
      <c r="AR100" s="570"/>
      <c r="AS100" s="570"/>
      <c r="AT100" s="570"/>
      <c r="AU100" s="570"/>
      <c r="AV100" s="570"/>
      <c r="AW100" s="570"/>
      <c r="AX100" s="570"/>
      <c r="AY100" s="570"/>
      <c r="AZ100" s="570"/>
      <c r="BA100" s="570"/>
      <c r="BB100" s="570"/>
      <c r="BC100" s="570"/>
      <c r="BD100" s="570"/>
      <c r="BE100" s="570"/>
      <c r="BF100" s="570"/>
      <c r="BG100" s="570"/>
      <c r="BH100" s="570"/>
      <c r="BI100" s="570"/>
      <c r="BJ100" s="570"/>
      <c r="BK100" s="570"/>
      <c r="BL100" s="572"/>
    </row>
    <row r="101" spans="3:64" s="577" customFormat="1">
      <c r="D101" s="578"/>
      <c r="E101" s="575"/>
      <c r="F101" s="576"/>
      <c r="G101" s="579"/>
      <c r="H101" s="579"/>
      <c r="I101" s="579"/>
      <c r="J101" s="579"/>
      <c r="K101" s="579"/>
      <c r="L101" s="579"/>
      <c r="M101" s="579"/>
      <c r="N101" s="579"/>
      <c r="O101" s="579"/>
      <c r="P101" s="579"/>
      <c r="Q101" s="579"/>
      <c r="R101" s="579"/>
      <c r="S101" s="579"/>
      <c r="T101" s="579"/>
      <c r="U101" s="576"/>
      <c r="V101" s="579"/>
      <c r="W101" s="579"/>
      <c r="X101" s="579"/>
      <c r="Y101" s="579"/>
      <c r="Z101" s="579"/>
      <c r="AA101" s="579"/>
      <c r="AB101" s="579"/>
      <c r="AC101" s="579"/>
      <c r="AD101" s="579"/>
      <c r="AE101" s="579"/>
      <c r="AF101" s="579"/>
      <c r="AG101" s="579"/>
      <c r="AH101" s="579"/>
      <c r="AI101" s="576"/>
      <c r="AJ101" s="571"/>
      <c r="AK101" s="570"/>
      <c r="AL101" s="570"/>
      <c r="AM101" s="570"/>
      <c r="AN101" s="570"/>
      <c r="AO101" s="570"/>
      <c r="AP101" s="570"/>
      <c r="AR101" s="570"/>
      <c r="AS101" s="570"/>
      <c r="AT101" s="570"/>
      <c r="AU101" s="570"/>
      <c r="AV101" s="570"/>
      <c r="AW101" s="570"/>
      <c r="AX101" s="570"/>
      <c r="AY101" s="570"/>
      <c r="AZ101" s="570"/>
      <c r="BA101" s="570"/>
      <c r="BB101" s="570"/>
      <c r="BC101" s="570"/>
      <c r="BD101" s="570"/>
      <c r="BE101" s="570"/>
      <c r="BF101" s="570"/>
      <c r="BG101" s="570"/>
      <c r="BH101" s="570"/>
      <c r="BI101" s="570"/>
      <c r="BJ101" s="570"/>
      <c r="BK101" s="570"/>
      <c r="BL101" s="572"/>
    </row>
    <row r="102" spans="3:64" s="577" customFormat="1" ht="6" customHeight="1">
      <c r="C102" s="580"/>
      <c r="D102" s="578"/>
      <c r="E102" s="579"/>
      <c r="F102" s="579"/>
      <c r="G102" s="579"/>
      <c r="H102" s="579"/>
      <c r="I102" s="579"/>
      <c r="J102" s="579"/>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6"/>
      <c r="AJ102" s="571"/>
      <c r="AK102" s="570"/>
      <c r="AL102" s="570"/>
      <c r="AM102" s="570"/>
      <c r="AN102" s="570"/>
      <c r="AO102" s="570"/>
      <c r="AP102" s="570"/>
      <c r="AR102" s="570"/>
      <c r="AS102" s="570"/>
      <c r="AT102" s="570"/>
      <c r="AU102" s="570"/>
      <c r="AV102" s="570"/>
      <c r="AW102" s="570"/>
      <c r="AX102" s="570"/>
      <c r="AY102" s="570"/>
      <c r="AZ102" s="570"/>
      <c r="BA102" s="570"/>
      <c r="BB102" s="570"/>
      <c r="BC102" s="570"/>
      <c r="BD102" s="570"/>
      <c r="BE102" s="570"/>
      <c r="BF102" s="570"/>
      <c r="BG102" s="570"/>
      <c r="BH102" s="570"/>
      <c r="BI102" s="570"/>
      <c r="BJ102" s="570"/>
      <c r="BK102" s="570"/>
      <c r="BL102" s="572"/>
    </row>
    <row r="103" spans="3:64" s="577" customFormat="1">
      <c r="C103" s="577" t="s">
        <v>16</v>
      </c>
      <c r="D103" s="578"/>
      <c r="E103" s="579"/>
      <c r="F103" s="579"/>
      <c r="G103" s="579"/>
      <c r="H103" s="579"/>
      <c r="I103" s="579"/>
      <c r="J103" s="579"/>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6"/>
      <c r="AJ103" s="571"/>
      <c r="AK103" s="570"/>
      <c r="AL103" s="570"/>
      <c r="AM103" s="570"/>
      <c r="AN103" s="570"/>
      <c r="AO103" s="570"/>
      <c r="AP103" s="570"/>
      <c r="AR103" s="570"/>
      <c r="AS103" s="570"/>
      <c r="AT103" s="570"/>
      <c r="AU103" s="570"/>
      <c r="AV103" s="570"/>
      <c r="AW103" s="570"/>
      <c r="AX103" s="570"/>
      <c r="AY103" s="570"/>
      <c r="AZ103" s="570"/>
      <c r="BA103" s="570"/>
      <c r="BB103" s="570"/>
      <c r="BC103" s="570"/>
      <c r="BD103" s="570"/>
      <c r="BE103" s="570"/>
      <c r="BF103" s="570"/>
      <c r="BG103" s="570"/>
      <c r="BH103" s="570"/>
      <c r="BI103" s="570"/>
      <c r="BJ103" s="570"/>
      <c r="BK103" s="570"/>
      <c r="BL103" s="572"/>
    </row>
    <row r="104" spans="3:64" s="577" customFormat="1">
      <c r="C104" s="577" t="s">
        <v>17</v>
      </c>
      <c r="D104" s="578"/>
      <c r="E104" s="579"/>
      <c r="F104" s="579"/>
      <c r="G104" s="579"/>
      <c r="H104" s="579"/>
      <c r="I104" s="579"/>
      <c r="J104" s="579"/>
      <c r="K104" s="579"/>
      <c r="L104" s="579"/>
      <c r="M104" s="579"/>
      <c r="N104" s="579"/>
      <c r="O104" s="579"/>
      <c r="P104" s="579"/>
      <c r="Q104" s="579"/>
      <c r="R104" s="579"/>
      <c r="S104" s="579"/>
      <c r="T104" s="579"/>
      <c r="U104" s="579"/>
      <c r="V104" s="579"/>
      <c r="W104" s="579"/>
      <c r="X104" s="579"/>
      <c r="Y104" s="579"/>
      <c r="Z104" s="579"/>
      <c r="AA104" s="579"/>
      <c r="AB104" s="579"/>
      <c r="AC104" s="579"/>
      <c r="AD104" s="579"/>
      <c r="AE104" s="579"/>
      <c r="AF104" s="579"/>
      <c r="AG104" s="579"/>
      <c r="AH104" s="579"/>
      <c r="AI104" s="576"/>
      <c r="AJ104" s="571"/>
      <c r="AK104" s="570"/>
      <c r="AL104" s="570"/>
      <c r="AM104" s="570"/>
      <c r="AN104" s="570"/>
      <c r="AO104" s="570"/>
      <c r="AP104" s="570"/>
      <c r="AR104" s="570"/>
      <c r="AS104" s="570"/>
      <c r="AT104" s="570"/>
      <c r="AU104" s="570"/>
      <c r="AV104" s="570"/>
      <c r="AW104" s="570"/>
      <c r="AX104" s="570"/>
      <c r="AY104" s="570"/>
      <c r="AZ104" s="570"/>
      <c r="BA104" s="570"/>
      <c r="BB104" s="570"/>
      <c r="BC104" s="570"/>
      <c r="BD104" s="570"/>
      <c r="BE104" s="570"/>
      <c r="BF104" s="570"/>
      <c r="BG104" s="570"/>
      <c r="BH104" s="570"/>
      <c r="BI104" s="570"/>
      <c r="BJ104" s="570"/>
      <c r="BK104" s="570"/>
      <c r="BL104" s="572"/>
    </row>
    <row r="105" spans="3:64" s="577" customFormat="1">
      <c r="C105" s="577" t="s">
        <v>18</v>
      </c>
      <c r="D105" s="578"/>
      <c r="E105" s="579"/>
      <c r="F105" s="579"/>
      <c r="G105" s="579"/>
      <c r="H105" s="579"/>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6"/>
      <c r="AJ105" s="571"/>
      <c r="AK105" s="570"/>
      <c r="AL105" s="570"/>
      <c r="AM105" s="570"/>
      <c r="AN105" s="570"/>
      <c r="AO105" s="570"/>
      <c r="AP105" s="570"/>
      <c r="AR105" s="570"/>
      <c r="AS105" s="570"/>
      <c r="AT105" s="570"/>
      <c r="AU105" s="570"/>
      <c r="AV105" s="570"/>
      <c r="AW105" s="570"/>
      <c r="AX105" s="570"/>
      <c r="AY105" s="570"/>
      <c r="AZ105" s="570"/>
      <c r="BA105" s="570"/>
      <c r="BB105" s="570"/>
      <c r="BC105" s="570"/>
      <c r="BD105" s="570"/>
      <c r="BE105" s="570"/>
      <c r="BF105" s="570"/>
      <c r="BG105" s="570"/>
      <c r="BH105" s="570"/>
      <c r="BI105" s="570"/>
      <c r="BJ105" s="570"/>
      <c r="BK105" s="570"/>
      <c r="BL105" s="572"/>
    </row>
    <row r="106" spans="3:64" s="577" customFormat="1">
      <c r="C106" s="577" t="s">
        <v>19</v>
      </c>
      <c r="D106" s="578"/>
      <c r="E106" s="579"/>
      <c r="F106" s="579"/>
      <c r="G106" s="579"/>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6"/>
      <c r="AJ106" s="571"/>
      <c r="AK106" s="570"/>
      <c r="AL106" s="570"/>
      <c r="AM106" s="570"/>
      <c r="AN106" s="570"/>
      <c r="AO106" s="570"/>
      <c r="AP106" s="570"/>
      <c r="AR106" s="570"/>
      <c r="AS106" s="570"/>
      <c r="AT106" s="570"/>
      <c r="AU106" s="570"/>
      <c r="AV106" s="570"/>
      <c r="AW106" s="570"/>
      <c r="AX106" s="570"/>
      <c r="AY106" s="570"/>
      <c r="AZ106" s="570"/>
      <c r="BA106" s="570"/>
      <c r="BB106" s="570"/>
      <c r="BC106" s="570"/>
      <c r="BD106" s="570"/>
      <c r="BE106" s="570"/>
      <c r="BF106" s="570"/>
      <c r="BG106" s="570"/>
      <c r="BH106" s="570"/>
      <c r="BI106" s="570"/>
      <c r="BJ106" s="570"/>
      <c r="BK106" s="570"/>
      <c r="BL106" s="572"/>
    </row>
    <row r="107" spans="3:64" s="577" customFormat="1">
      <c r="C107" s="577" t="s">
        <v>20</v>
      </c>
      <c r="D107" s="578"/>
      <c r="E107" s="579"/>
      <c r="F107" s="579"/>
      <c r="G107" s="579"/>
      <c r="H107" s="579"/>
      <c r="I107" s="579"/>
      <c r="J107" s="579"/>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6"/>
      <c r="AJ107" s="571"/>
      <c r="AK107" s="570"/>
      <c r="AL107" s="570"/>
      <c r="AM107" s="570"/>
      <c r="AN107" s="570"/>
      <c r="AO107" s="570"/>
      <c r="AP107" s="570"/>
      <c r="AR107" s="570"/>
      <c r="AS107" s="570"/>
      <c r="AT107" s="570"/>
      <c r="AU107" s="570"/>
      <c r="AV107" s="570"/>
      <c r="AW107" s="570"/>
      <c r="AX107" s="570"/>
      <c r="AY107" s="570"/>
      <c r="AZ107" s="570"/>
      <c r="BA107" s="570"/>
      <c r="BB107" s="570"/>
      <c r="BC107" s="570"/>
      <c r="BD107" s="570"/>
      <c r="BE107" s="570"/>
      <c r="BF107" s="570"/>
      <c r="BG107" s="570"/>
      <c r="BH107" s="570"/>
      <c r="BI107" s="570"/>
      <c r="BJ107" s="570"/>
      <c r="BK107" s="570"/>
      <c r="BL107" s="572"/>
    </row>
    <row r="108" spans="3:64" s="577" customFormat="1">
      <c r="C108" s="577" t="s">
        <v>21</v>
      </c>
      <c r="D108" s="578"/>
      <c r="E108" s="579"/>
      <c r="F108" s="579"/>
      <c r="G108" s="579"/>
      <c r="H108" s="579"/>
      <c r="I108" s="579"/>
      <c r="J108" s="579"/>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6"/>
      <c r="AJ108" s="571"/>
      <c r="AK108" s="570"/>
      <c r="AL108" s="570"/>
      <c r="AM108" s="570"/>
      <c r="AN108" s="570"/>
      <c r="AO108" s="570"/>
      <c r="AP108" s="570"/>
      <c r="AR108" s="570"/>
      <c r="AS108" s="570"/>
      <c r="AT108" s="570"/>
      <c r="AU108" s="570"/>
      <c r="AV108" s="570"/>
      <c r="AW108" s="570"/>
      <c r="AX108" s="570"/>
      <c r="AY108" s="570"/>
      <c r="AZ108" s="570"/>
      <c r="BA108" s="570"/>
      <c r="BB108" s="570"/>
      <c r="BC108" s="570"/>
      <c r="BD108" s="570"/>
      <c r="BE108" s="570"/>
      <c r="BF108" s="570"/>
      <c r="BG108" s="570"/>
      <c r="BH108" s="570"/>
      <c r="BI108" s="570"/>
      <c r="BJ108" s="570"/>
      <c r="BK108" s="570"/>
      <c r="BL108" s="572"/>
    </row>
    <row r="109" spans="3:64" s="577" customFormat="1">
      <c r="C109" s="577" t="s">
        <v>58</v>
      </c>
      <c r="D109" s="578"/>
      <c r="E109" s="579"/>
      <c r="F109" s="579"/>
      <c r="G109" s="579"/>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6"/>
      <c r="AJ109" s="571"/>
      <c r="AK109" s="570"/>
      <c r="AL109" s="570"/>
      <c r="AM109" s="570"/>
      <c r="AN109" s="570"/>
      <c r="AO109" s="570"/>
      <c r="AP109" s="570"/>
      <c r="AR109" s="570"/>
      <c r="AS109" s="570"/>
      <c r="AT109" s="570"/>
      <c r="AU109" s="570"/>
      <c r="AV109" s="570"/>
      <c r="AW109" s="570"/>
      <c r="AX109" s="570"/>
      <c r="AY109" s="570"/>
      <c r="AZ109" s="570"/>
      <c r="BA109" s="570"/>
      <c r="BB109" s="570"/>
      <c r="BC109" s="570"/>
      <c r="BD109" s="570"/>
      <c r="BE109" s="570"/>
      <c r="BF109" s="570"/>
      <c r="BG109" s="570"/>
      <c r="BH109" s="570"/>
      <c r="BI109" s="570"/>
      <c r="BJ109" s="570"/>
      <c r="BK109" s="570"/>
      <c r="BL109" s="572"/>
    </row>
    <row r="110" spans="3:64" s="577" customFormat="1">
      <c r="C110" s="577" t="s">
        <v>22</v>
      </c>
      <c r="D110" s="578"/>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6"/>
      <c r="AJ110" s="571"/>
      <c r="AK110" s="570"/>
      <c r="AL110" s="570"/>
      <c r="AM110" s="570"/>
      <c r="AN110" s="570"/>
      <c r="AO110" s="570"/>
      <c r="AP110" s="570"/>
      <c r="AR110" s="570"/>
      <c r="AS110" s="570"/>
      <c r="AT110" s="570"/>
      <c r="AU110" s="570"/>
      <c r="AV110" s="570"/>
      <c r="AW110" s="570"/>
      <c r="AX110" s="570"/>
      <c r="AY110" s="570"/>
      <c r="AZ110" s="570"/>
      <c r="BA110" s="570"/>
      <c r="BB110" s="570"/>
      <c r="BC110" s="570"/>
      <c r="BD110" s="570"/>
      <c r="BE110" s="570"/>
      <c r="BF110" s="570"/>
      <c r="BG110" s="570"/>
      <c r="BH110" s="570"/>
      <c r="BI110" s="570"/>
      <c r="BJ110" s="570"/>
      <c r="BK110" s="570"/>
      <c r="BL110" s="572"/>
    </row>
    <row r="111" spans="3:64" s="577" customFormat="1">
      <c r="C111" s="577" t="s">
        <v>23</v>
      </c>
      <c r="D111" s="578"/>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6"/>
      <c r="AJ111" s="571"/>
      <c r="AK111" s="570"/>
      <c r="AL111" s="570"/>
      <c r="AM111" s="570"/>
      <c r="AN111" s="570"/>
      <c r="AO111" s="570"/>
      <c r="AP111" s="570"/>
      <c r="AR111" s="570"/>
      <c r="AS111" s="570"/>
      <c r="AT111" s="570"/>
      <c r="AU111" s="570"/>
      <c r="AV111" s="570"/>
      <c r="AW111" s="570"/>
      <c r="AX111" s="570"/>
      <c r="AY111" s="570"/>
      <c r="AZ111" s="570"/>
      <c r="BA111" s="570"/>
      <c r="BB111" s="570"/>
      <c r="BC111" s="570"/>
      <c r="BD111" s="570"/>
      <c r="BE111" s="570"/>
      <c r="BF111" s="570"/>
      <c r="BG111" s="570"/>
      <c r="BH111" s="570"/>
      <c r="BI111" s="570"/>
      <c r="BJ111" s="570"/>
      <c r="BK111" s="570"/>
      <c r="BL111" s="572"/>
    </row>
    <row r="112" spans="3:64" s="577" customFormat="1">
      <c r="C112" s="577" t="s">
        <v>24</v>
      </c>
      <c r="D112" s="578"/>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6"/>
      <c r="AJ112" s="571"/>
      <c r="AK112" s="570"/>
      <c r="AL112" s="570"/>
      <c r="AM112" s="570"/>
      <c r="AN112" s="570"/>
      <c r="AO112" s="570"/>
      <c r="AP112" s="570"/>
      <c r="AR112" s="570"/>
      <c r="AS112" s="570"/>
      <c r="AT112" s="570"/>
      <c r="AU112" s="570"/>
      <c r="AV112" s="570"/>
      <c r="AW112" s="570"/>
      <c r="AX112" s="570"/>
      <c r="AY112" s="570"/>
      <c r="AZ112" s="570"/>
      <c r="BA112" s="570"/>
      <c r="BB112" s="570"/>
      <c r="BC112" s="570"/>
      <c r="BD112" s="570"/>
      <c r="BE112" s="570"/>
      <c r="BF112" s="570"/>
      <c r="BG112" s="570"/>
      <c r="BH112" s="570"/>
      <c r="BI112" s="570"/>
      <c r="BJ112" s="570"/>
      <c r="BK112" s="570"/>
      <c r="BL112" s="572"/>
    </row>
    <row r="113" spans="3:64" s="577" customFormat="1">
      <c r="C113" s="577" t="s">
        <v>25</v>
      </c>
      <c r="D113" s="578"/>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6"/>
      <c r="AJ113" s="571"/>
      <c r="AK113" s="570"/>
      <c r="AL113" s="570"/>
      <c r="AM113" s="570"/>
      <c r="AN113" s="570"/>
      <c r="AO113" s="570"/>
      <c r="AP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2"/>
    </row>
    <row r="114" spans="3:64" s="577" customFormat="1">
      <c r="C114" s="577" t="s">
        <v>26</v>
      </c>
      <c r="D114" s="578"/>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6"/>
      <c r="AJ114" s="571"/>
      <c r="AK114" s="570"/>
      <c r="AL114" s="570"/>
      <c r="AM114" s="570"/>
      <c r="AN114" s="570"/>
      <c r="AO114" s="570"/>
      <c r="AP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2"/>
    </row>
    <row r="115" spans="3:64" s="577" customFormat="1">
      <c r="C115" s="577" t="s">
        <v>27</v>
      </c>
      <c r="D115" s="578"/>
      <c r="E115" s="579"/>
      <c r="F115" s="579"/>
      <c r="G115" s="579"/>
      <c r="H115" s="579"/>
      <c r="I115" s="579"/>
      <c r="J115" s="579"/>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6"/>
      <c r="AJ115" s="571"/>
      <c r="AK115" s="570"/>
      <c r="AL115" s="570"/>
      <c r="AM115" s="570"/>
      <c r="AN115" s="570"/>
      <c r="AO115" s="570"/>
      <c r="AP115" s="570"/>
      <c r="AR115" s="570"/>
      <c r="AS115" s="570"/>
      <c r="AT115" s="570"/>
      <c r="AU115" s="570"/>
      <c r="AV115" s="570"/>
      <c r="AW115" s="570"/>
      <c r="AX115" s="570"/>
      <c r="AY115" s="570"/>
      <c r="AZ115" s="570"/>
      <c r="BA115" s="570"/>
      <c r="BB115" s="570"/>
      <c r="BC115" s="570"/>
      <c r="BD115" s="570"/>
      <c r="BE115" s="570"/>
      <c r="BF115" s="570"/>
      <c r="BG115" s="570"/>
      <c r="BH115" s="570"/>
      <c r="BI115" s="570"/>
      <c r="BJ115" s="570"/>
      <c r="BK115" s="570"/>
      <c r="BL115" s="572"/>
    </row>
    <row r="116" spans="3:64" s="577" customFormat="1">
      <c r="C116" s="577" t="s">
        <v>28</v>
      </c>
      <c r="D116" s="578"/>
      <c r="E116" s="579"/>
      <c r="F116" s="579"/>
      <c r="G116" s="579"/>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6"/>
      <c r="AJ116" s="571"/>
      <c r="AK116" s="570"/>
      <c r="AL116" s="570"/>
      <c r="AM116" s="570"/>
      <c r="AN116" s="570"/>
      <c r="AO116" s="570"/>
      <c r="AP116" s="570"/>
      <c r="AR116" s="570"/>
      <c r="AS116" s="570"/>
      <c r="AT116" s="570"/>
      <c r="AU116" s="570"/>
      <c r="AV116" s="570"/>
      <c r="AW116" s="570"/>
      <c r="AX116" s="570"/>
      <c r="AY116" s="570"/>
      <c r="AZ116" s="570"/>
      <c r="BA116" s="570"/>
      <c r="BB116" s="570"/>
      <c r="BC116" s="570"/>
      <c r="BD116" s="570"/>
      <c r="BE116" s="570"/>
      <c r="BF116" s="570"/>
      <c r="BG116" s="570"/>
      <c r="BH116" s="570"/>
      <c r="BI116" s="570"/>
      <c r="BJ116" s="570"/>
      <c r="BK116" s="570"/>
      <c r="BL116" s="572"/>
    </row>
    <row r="117" spans="3:64" s="577" customFormat="1">
      <c r="C117" s="577" t="s">
        <v>29</v>
      </c>
      <c r="D117" s="578"/>
      <c r="E117" s="579"/>
      <c r="F117" s="579"/>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6"/>
      <c r="AJ117" s="571"/>
      <c r="AK117" s="570"/>
      <c r="AL117" s="570"/>
      <c r="AM117" s="570"/>
      <c r="AN117" s="570"/>
      <c r="AO117" s="570"/>
      <c r="AP117" s="570"/>
      <c r="AR117" s="570"/>
      <c r="AS117" s="570"/>
      <c r="AT117" s="570"/>
      <c r="AU117" s="570"/>
      <c r="AV117" s="570"/>
      <c r="AW117" s="570"/>
      <c r="AX117" s="570"/>
      <c r="AY117" s="570"/>
      <c r="AZ117" s="570"/>
      <c r="BA117" s="570"/>
      <c r="BB117" s="570"/>
      <c r="BC117" s="570"/>
      <c r="BD117" s="570"/>
      <c r="BE117" s="570"/>
      <c r="BF117" s="570"/>
      <c r="BG117" s="570"/>
      <c r="BH117" s="570"/>
      <c r="BI117" s="570"/>
      <c r="BJ117" s="570"/>
      <c r="BK117" s="570"/>
      <c r="BL117" s="572"/>
    </row>
    <row r="118" spans="3:64" s="577" customFormat="1">
      <c r="C118" s="577" t="s">
        <v>30</v>
      </c>
      <c r="D118" s="578"/>
      <c r="E118" s="579"/>
      <c r="F118" s="579"/>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6"/>
      <c r="AJ118" s="571"/>
      <c r="AK118" s="570"/>
      <c r="AL118" s="570"/>
      <c r="AM118" s="570"/>
      <c r="AN118" s="570"/>
      <c r="AO118" s="570"/>
      <c r="AP118" s="570"/>
      <c r="AR118" s="570"/>
      <c r="AS118" s="570"/>
      <c r="AT118" s="570"/>
      <c r="AU118" s="570"/>
      <c r="AV118" s="570"/>
      <c r="AW118" s="570"/>
      <c r="AX118" s="570"/>
      <c r="AY118" s="570"/>
      <c r="AZ118" s="570"/>
      <c r="BA118" s="570"/>
      <c r="BB118" s="570"/>
      <c r="BC118" s="570"/>
      <c r="BD118" s="570"/>
      <c r="BE118" s="570"/>
      <c r="BF118" s="570"/>
      <c r="BG118" s="570"/>
      <c r="BH118" s="570"/>
      <c r="BI118" s="570"/>
      <c r="BJ118" s="570"/>
      <c r="BK118" s="570"/>
      <c r="BL118" s="572"/>
    </row>
    <row r="119" spans="3:64" s="577" customFormat="1">
      <c r="C119" s="577" t="s">
        <v>85</v>
      </c>
      <c r="D119" s="578"/>
      <c r="E119" s="579"/>
      <c r="F119" s="579"/>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6"/>
      <c r="AJ119" s="571"/>
      <c r="AK119" s="570"/>
      <c r="AL119" s="570"/>
      <c r="AM119" s="570"/>
      <c r="AN119" s="570"/>
      <c r="AO119" s="570"/>
      <c r="AP119" s="570"/>
      <c r="AR119" s="570"/>
      <c r="AS119" s="570"/>
      <c r="AT119" s="570"/>
      <c r="AU119" s="570"/>
      <c r="AV119" s="570"/>
      <c r="AW119" s="570"/>
      <c r="AX119" s="570"/>
      <c r="AY119" s="570"/>
      <c r="AZ119" s="570"/>
      <c r="BA119" s="570"/>
      <c r="BB119" s="570"/>
      <c r="BC119" s="570"/>
      <c r="BD119" s="570"/>
      <c r="BE119" s="570"/>
      <c r="BF119" s="570"/>
      <c r="BG119" s="570"/>
      <c r="BH119" s="570"/>
      <c r="BI119" s="570"/>
      <c r="BJ119" s="570"/>
      <c r="BK119" s="570"/>
      <c r="BL119" s="572"/>
    </row>
    <row r="120" spans="3:64" s="577" customFormat="1">
      <c r="C120" s="577" t="s">
        <v>31</v>
      </c>
      <c r="D120" s="578"/>
      <c r="E120" s="579"/>
      <c r="F120" s="579"/>
      <c r="G120" s="579"/>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6"/>
      <c r="AJ120" s="571"/>
      <c r="AK120" s="570"/>
      <c r="AL120" s="570"/>
      <c r="AM120" s="570"/>
      <c r="AN120" s="570"/>
      <c r="AO120" s="570"/>
      <c r="AP120" s="570"/>
      <c r="AR120" s="570"/>
      <c r="AS120" s="570"/>
      <c r="AT120" s="570"/>
      <c r="AU120" s="570"/>
      <c r="AV120" s="570"/>
      <c r="AW120" s="570"/>
      <c r="AX120" s="570"/>
      <c r="AY120" s="570"/>
      <c r="AZ120" s="570"/>
      <c r="BA120" s="570"/>
      <c r="BB120" s="570"/>
      <c r="BC120" s="570"/>
      <c r="BD120" s="570"/>
      <c r="BE120" s="570"/>
      <c r="BF120" s="570"/>
      <c r="BG120" s="570"/>
      <c r="BH120" s="570"/>
      <c r="BI120" s="570"/>
      <c r="BJ120" s="570"/>
      <c r="BK120" s="570"/>
      <c r="BL120" s="572"/>
    </row>
    <row r="121" spans="3:64" s="577" customFormat="1">
      <c r="C121" s="577" t="s">
        <v>32</v>
      </c>
      <c r="D121" s="578"/>
      <c r="E121" s="579"/>
      <c r="F121" s="579"/>
      <c r="G121" s="579"/>
      <c r="H121" s="579"/>
      <c r="I121" s="579"/>
      <c r="J121" s="579"/>
      <c r="K121" s="579"/>
      <c r="L121" s="579"/>
      <c r="M121" s="579"/>
      <c r="N121" s="579"/>
      <c r="O121" s="579"/>
      <c r="P121" s="579"/>
      <c r="Q121" s="579"/>
      <c r="R121" s="579"/>
      <c r="S121" s="579"/>
      <c r="T121" s="579"/>
      <c r="U121" s="579"/>
      <c r="V121" s="579"/>
      <c r="W121" s="579"/>
      <c r="X121" s="579"/>
      <c r="Y121" s="579"/>
      <c r="Z121" s="579"/>
      <c r="AA121" s="579"/>
      <c r="AB121" s="579"/>
      <c r="AC121" s="579"/>
      <c r="AD121" s="579"/>
      <c r="AE121" s="579"/>
      <c r="AF121" s="579"/>
      <c r="AG121" s="579"/>
      <c r="AH121" s="579"/>
      <c r="AI121" s="576"/>
      <c r="AJ121" s="571"/>
      <c r="AK121" s="570"/>
      <c r="AL121" s="570"/>
      <c r="AM121" s="570"/>
      <c r="AN121" s="570"/>
      <c r="AO121" s="570"/>
      <c r="AP121" s="570"/>
      <c r="AR121" s="570"/>
      <c r="AS121" s="570"/>
      <c r="AT121" s="570"/>
      <c r="AU121" s="570"/>
      <c r="AV121" s="570"/>
      <c r="AW121" s="570"/>
      <c r="AX121" s="570"/>
      <c r="AY121" s="570"/>
      <c r="AZ121" s="570"/>
      <c r="BA121" s="570"/>
      <c r="BB121" s="570"/>
      <c r="BC121" s="570"/>
      <c r="BD121" s="570"/>
      <c r="BE121" s="570"/>
      <c r="BF121" s="570"/>
      <c r="BG121" s="570"/>
      <c r="BH121" s="570"/>
      <c r="BI121" s="570"/>
      <c r="BJ121" s="570"/>
      <c r="BK121" s="570"/>
      <c r="BL121" s="572"/>
    </row>
    <row r="122" spans="3:64" s="577" customFormat="1">
      <c r="C122" s="577" t="s">
        <v>33</v>
      </c>
      <c r="D122" s="578"/>
      <c r="E122" s="579"/>
      <c r="F122" s="579"/>
      <c r="G122" s="579"/>
      <c r="H122" s="579"/>
      <c r="I122" s="579"/>
      <c r="J122" s="579"/>
      <c r="K122" s="579"/>
      <c r="L122" s="579"/>
      <c r="M122" s="579"/>
      <c r="N122" s="579"/>
      <c r="O122" s="579"/>
      <c r="P122" s="579"/>
      <c r="Q122" s="579"/>
      <c r="R122" s="579"/>
      <c r="S122" s="579"/>
      <c r="T122" s="579"/>
      <c r="U122" s="579"/>
      <c r="V122" s="579"/>
      <c r="W122" s="579"/>
      <c r="X122" s="579"/>
      <c r="Y122" s="579"/>
      <c r="Z122" s="579"/>
      <c r="AA122" s="579"/>
      <c r="AB122" s="579"/>
      <c r="AC122" s="579"/>
      <c r="AD122" s="579"/>
      <c r="AE122" s="579"/>
      <c r="AF122" s="579"/>
      <c r="AG122" s="579"/>
      <c r="AH122" s="579"/>
      <c r="AI122" s="576"/>
      <c r="AJ122" s="571"/>
      <c r="AK122" s="570"/>
      <c r="AL122" s="570"/>
      <c r="AM122" s="570"/>
      <c r="AN122" s="570"/>
      <c r="AO122" s="570"/>
      <c r="AP122" s="570"/>
      <c r="AR122" s="570"/>
      <c r="AS122" s="570"/>
      <c r="AT122" s="570"/>
      <c r="AU122" s="570"/>
      <c r="AV122" s="570"/>
      <c r="AW122" s="570"/>
      <c r="AX122" s="570"/>
      <c r="AY122" s="570"/>
      <c r="AZ122" s="570"/>
      <c r="BA122" s="570"/>
      <c r="BB122" s="570"/>
      <c r="BC122" s="570"/>
      <c r="BD122" s="570"/>
      <c r="BE122" s="570"/>
      <c r="BF122" s="570"/>
      <c r="BG122" s="570"/>
      <c r="BH122" s="570"/>
      <c r="BI122" s="570"/>
      <c r="BJ122" s="570"/>
      <c r="BK122" s="570"/>
      <c r="BL122" s="572"/>
    </row>
    <row r="123" spans="3:64" s="577" customFormat="1">
      <c r="C123" s="577" t="s">
        <v>34</v>
      </c>
      <c r="D123" s="578"/>
      <c r="E123" s="579"/>
      <c r="F123" s="579"/>
      <c r="G123" s="579"/>
      <c r="H123" s="579"/>
      <c r="I123" s="579"/>
      <c r="J123" s="579"/>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6"/>
      <c r="AJ123" s="571"/>
      <c r="AK123" s="570"/>
      <c r="AL123" s="570"/>
      <c r="AM123" s="570"/>
      <c r="AN123" s="570"/>
      <c r="AO123" s="570"/>
      <c r="AP123" s="570"/>
      <c r="AR123" s="570"/>
      <c r="AS123" s="570"/>
      <c r="AT123" s="570"/>
      <c r="AU123" s="570"/>
      <c r="AV123" s="570"/>
      <c r="AW123" s="570"/>
      <c r="AX123" s="570"/>
      <c r="AY123" s="570"/>
      <c r="AZ123" s="570"/>
      <c r="BA123" s="570"/>
      <c r="BB123" s="570"/>
      <c r="BC123" s="570"/>
      <c r="BD123" s="570"/>
      <c r="BE123" s="570"/>
      <c r="BF123" s="570"/>
      <c r="BG123" s="570"/>
      <c r="BH123" s="570"/>
      <c r="BI123" s="570"/>
      <c r="BJ123" s="570"/>
      <c r="BK123" s="570"/>
      <c r="BL123" s="572"/>
    </row>
    <row r="124" spans="3:64" s="577" customFormat="1">
      <c r="C124" s="577" t="s">
        <v>35</v>
      </c>
      <c r="D124" s="578"/>
      <c r="E124" s="579"/>
      <c r="F124" s="579"/>
      <c r="G124" s="579"/>
      <c r="H124" s="579"/>
      <c r="I124" s="579"/>
      <c r="J124" s="579"/>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6"/>
      <c r="AJ124" s="571"/>
      <c r="AK124" s="570"/>
      <c r="AL124" s="570"/>
      <c r="AM124" s="570"/>
      <c r="AN124" s="570"/>
      <c r="AO124" s="570"/>
      <c r="AP124" s="570"/>
      <c r="AR124" s="570"/>
      <c r="AS124" s="570"/>
      <c r="AT124" s="570"/>
      <c r="AU124" s="570"/>
      <c r="AV124" s="570"/>
      <c r="AW124" s="570"/>
      <c r="AX124" s="570"/>
      <c r="AY124" s="570"/>
      <c r="AZ124" s="570"/>
      <c r="BA124" s="570"/>
      <c r="BB124" s="570"/>
      <c r="BC124" s="570"/>
      <c r="BD124" s="570"/>
      <c r="BE124" s="570"/>
      <c r="BF124" s="570"/>
      <c r="BG124" s="570"/>
      <c r="BH124" s="570"/>
      <c r="BI124" s="570"/>
      <c r="BJ124" s="570"/>
      <c r="BK124" s="570"/>
      <c r="BL124" s="572"/>
    </row>
    <row r="125" spans="3:64" s="577" customFormat="1">
      <c r="C125" s="577" t="s">
        <v>36</v>
      </c>
      <c r="D125" s="578"/>
      <c r="E125" s="579"/>
      <c r="F125" s="579"/>
      <c r="G125" s="579"/>
      <c r="H125" s="579"/>
      <c r="I125" s="579"/>
      <c r="J125" s="579"/>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6"/>
      <c r="AJ125" s="571"/>
      <c r="AK125" s="570"/>
      <c r="AL125" s="570"/>
      <c r="AM125" s="570"/>
      <c r="AN125" s="570"/>
      <c r="AO125" s="570"/>
      <c r="AP125" s="570"/>
      <c r="AR125" s="570"/>
      <c r="AS125" s="570"/>
      <c r="AT125" s="570"/>
      <c r="AU125" s="570"/>
      <c r="AV125" s="570"/>
      <c r="AW125" s="570"/>
      <c r="AX125" s="570"/>
      <c r="AY125" s="570"/>
      <c r="AZ125" s="570"/>
      <c r="BA125" s="570"/>
      <c r="BB125" s="570"/>
      <c r="BC125" s="570"/>
      <c r="BD125" s="570"/>
      <c r="BE125" s="570"/>
      <c r="BF125" s="570"/>
      <c r="BG125" s="570"/>
      <c r="BH125" s="570"/>
      <c r="BI125" s="570"/>
      <c r="BJ125" s="570"/>
      <c r="BK125" s="570"/>
      <c r="BL125" s="572"/>
    </row>
    <row r="126" spans="3:64" s="577" customFormat="1">
      <c r="C126" s="577" t="s">
        <v>37</v>
      </c>
      <c r="D126" s="578"/>
      <c r="E126" s="579"/>
      <c r="F126" s="579"/>
      <c r="G126" s="579"/>
      <c r="H126" s="579"/>
      <c r="I126" s="579"/>
      <c r="J126" s="579"/>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6"/>
      <c r="AJ126" s="571"/>
      <c r="AK126" s="570"/>
      <c r="AL126" s="570"/>
      <c r="AM126" s="570"/>
      <c r="AN126" s="570"/>
      <c r="AO126" s="570"/>
      <c r="AP126" s="570"/>
      <c r="AR126" s="570"/>
      <c r="AS126" s="570"/>
      <c r="AT126" s="570"/>
      <c r="AU126" s="570"/>
      <c r="AV126" s="570"/>
      <c r="AW126" s="570"/>
      <c r="AX126" s="570"/>
      <c r="AY126" s="570"/>
      <c r="AZ126" s="570"/>
      <c r="BA126" s="570"/>
      <c r="BB126" s="570"/>
      <c r="BC126" s="570"/>
      <c r="BD126" s="570"/>
      <c r="BE126" s="570"/>
      <c r="BF126" s="570"/>
      <c r="BG126" s="570"/>
      <c r="BH126" s="570"/>
      <c r="BI126" s="570"/>
      <c r="BJ126" s="570"/>
      <c r="BK126" s="570"/>
      <c r="BL126" s="572"/>
    </row>
    <row r="127" spans="3:64" s="577" customFormat="1">
      <c r="C127" s="577" t="s">
        <v>38</v>
      </c>
      <c r="D127" s="578"/>
      <c r="E127" s="579"/>
      <c r="F127" s="579"/>
      <c r="G127" s="579"/>
      <c r="H127" s="579"/>
      <c r="I127" s="579"/>
      <c r="J127" s="579"/>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6"/>
      <c r="AJ127" s="571"/>
      <c r="AK127" s="570"/>
      <c r="AL127" s="570"/>
      <c r="AM127" s="570"/>
      <c r="AN127" s="570"/>
      <c r="AO127" s="570"/>
      <c r="AP127" s="570"/>
      <c r="AR127" s="570"/>
      <c r="AS127" s="570"/>
      <c r="AT127" s="570"/>
      <c r="AU127" s="570"/>
      <c r="AV127" s="570"/>
      <c r="AW127" s="570"/>
      <c r="AX127" s="570"/>
      <c r="AY127" s="570"/>
      <c r="AZ127" s="570"/>
      <c r="BA127" s="570"/>
      <c r="BB127" s="570"/>
      <c r="BC127" s="570"/>
      <c r="BD127" s="570"/>
      <c r="BE127" s="570"/>
      <c r="BF127" s="570"/>
      <c r="BG127" s="570"/>
      <c r="BH127" s="570"/>
      <c r="BI127" s="570"/>
      <c r="BJ127" s="570"/>
      <c r="BK127" s="570"/>
      <c r="BL127" s="572"/>
    </row>
    <row r="128" spans="3:64" s="560" customFormat="1" ht="6" customHeight="1">
      <c r="C128" s="566"/>
      <c r="D128" s="564"/>
      <c r="E128" s="565"/>
      <c r="F128" s="565"/>
      <c r="G128" s="565"/>
      <c r="H128" s="565"/>
      <c r="I128" s="565"/>
      <c r="J128" s="565"/>
      <c r="K128" s="565"/>
      <c r="L128" s="565"/>
      <c r="M128" s="565"/>
      <c r="N128" s="565"/>
      <c r="O128" s="565"/>
      <c r="P128" s="565"/>
      <c r="Q128" s="565"/>
      <c r="R128" s="565"/>
      <c r="S128" s="565"/>
      <c r="T128" s="565"/>
      <c r="U128" s="565"/>
      <c r="V128" s="565"/>
      <c r="W128" s="565"/>
      <c r="X128" s="565"/>
      <c r="Y128" s="565"/>
      <c r="Z128" s="565"/>
      <c r="AA128" s="565"/>
      <c r="AB128" s="565"/>
      <c r="AC128" s="565"/>
      <c r="AD128" s="565"/>
      <c r="AE128" s="565"/>
      <c r="AF128" s="565"/>
      <c r="AG128" s="565"/>
      <c r="AH128" s="565"/>
      <c r="AI128" s="563"/>
      <c r="AJ128" s="561"/>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62"/>
    </row>
    <row r="129" spans="3:64" s="560" customFormat="1" ht="6" customHeight="1">
      <c r="C129" s="566"/>
      <c r="D129" s="564"/>
      <c r="E129" s="565"/>
      <c r="F129" s="565"/>
      <c r="G129" s="565"/>
      <c r="H129" s="565"/>
      <c r="I129" s="565"/>
      <c r="J129" s="565"/>
      <c r="K129" s="565"/>
      <c r="L129" s="565"/>
      <c r="M129" s="565"/>
      <c r="N129" s="565"/>
      <c r="O129" s="565"/>
      <c r="P129" s="565"/>
      <c r="Q129" s="565"/>
      <c r="R129" s="565"/>
      <c r="S129" s="565"/>
      <c r="T129" s="565"/>
      <c r="U129" s="565"/>
      <c r="V129" s="565"/>
      <c r="W129" s="565"/>
      <c r="X129" s="565"/>
      <c r="Y129" s="565"/>
      <c r="Z129" s="565"/>
      <c r="AA129" s="565"/>
      <c r="AB129" s="565"/>
      <c r="AC129" s="565"/>
      <c r="AD129" s="565"/>
      <c r="AE129" s="565"/>
      <c r="AF129" s="565"/>
      <c r="AG129" s="565"/>
      <c r="AH129" s="565"/>
      <c r="AI129" s="563"/>
      <c r="AJ129" s="561"/>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62"/>
    </row>
    <row r="130" spans="3:64" s="577" customFormat="1">
      <c r="C130" s="577" t="s">
        <v>86</v>
      </c>
      <c r="D130" s="578"/>
      <c r="E130" s="579"/>
      <c r="F130" s="579"/>
      <c r="G130" s="579"/>
      <c r="H130" s="579"/>
      <c r="I130" s="579"/>
      <c r="J130" s="579"/>
      <c r="K130" s="579"/>
      <c r="L130" s="579"/>
      <c r="M130" s="579"/>
      <c r="N130" s="579"/>
      <c r="O130" s="579"/>
      <c r="P130" s="579"/>
      <c r="Q130" s="579"/>
      <c r="R130" s="579"/>
      <c r="S130" s="579"/>
      <c r="T130" s="579"/>
      <c r="U130" s="579"/>
      <c r="V130" s="579"/>
      <c r="W130" s="579"/>
      <c r="X130" s="579"/>
      <c r="Y130" s="579"/>
      <c r="Z130" s="579"/>
      <c r="AA130" s="579"/>
      <c r="AB130" s="579"/>
      <c r="AC130" s="579"/>
      <c r="AD130" s="579"/>
      <c r="AE130" s="579"/>
      <c r="AF130" s="579"/>
      <c r="AG130" s="579"/>
      <c r="AH130" s="579"/>
      <c r="AI130" s="576"/>
      <c r="AJ130" s="571"/>
      <c r="AK130" s="570"/>
      <c r="AL130" s="570"/>
      <c r="AM130" s="570"/>
      <c r="AN130" s="570"/>
      <c r="AO130" s="570"/>
      <c r="AP130" s="570"/>
      <c r="AR130" s="570"/>
      <c r="AS130" s="570"/>
      <c r="AT130" s="570"/>
      <c r="AU130" s="570"/>
      <c r="AV130" s="570"/>
      <c r="AW130" s="570"/>
      <c r="AX130" s="570"/>
      <c r="AY130" s="570"/>
      <c r="AZ130" s="570"/>
      <c r="BA130" s="570"/>
      <c r="BB130" s="570"/>
      <c r="BC130" s="570"/>
      <c r="BD130" s="570"/>
      <c r="BE130" s="570"/>
      <c r="BF130" s="570"/>
      <c r="BG130" s="570"/>
      <c r="BH130" s="570"/>
      <c r="BI130" s="570"/>
      <c r="BJ130" s="570"/>
      <c r="BK130" s="570"/>
      <c r="BL130" s="572"/>
    </row>
    <row r="131" spans="3:64" s="577" customFormat="1">
      <c r="C131" s="577" t="s">
        <v>90</v>
      </c>
      <c r="D131" s="578"/>
      <c r="E131" s="579"/>
      <c r="F131" s="579"/>
      <c r="G131" s="579"/>
      <c r="H131" s="579"/>
      <c r="I131" s="579"/>
      <c r="J131" s="579"/>
      <c r="K131" s="579"/>
      <c r="L131" s="579"/>
      <c r="M131" s="579"/>
      <c r="N131" s="579"/>
      <c r="O131" s="579"/>
      <c r="P131" s="579"/>
      <c r="Q131" s="579"/>
      <c r="R131" s="579"/>
      <c r="S131" s="579"/>
      <c r="T131" s="579"/>
      <c r="U131" s="579"/>
      <c r="V131" s="579"/>
      <c r="W131" s="579"/>
      <c r="X131" s="579"/>
      <c r="Y131" s="579"/>
      <c r="Z131" s="579"/>
      <c r="AA131" s="579"/>
      <c r="AB131" s="579"/>
      <c r="AC131" s="579"/>
      <c r="AD131" s="579"/>
      <c r="AE131" s="579"/>
      <c r="AF131" s="579"/>
      <c r="AG131" s="579"/>
      <c r="AH131" s="579"/>
      <c r="AI131" s="576"/>
      <c r="AJ131" s="571"/>
      <c r="AK131" s="570"/>
      <c r="AL131" s="570"/>
      <c r="AM131" s="570"/>
      <c r="AN131" s="570"/>
      <c r="AO131" s="570"/>
      <c r="AP131" s="570"/>
      <c r="AR131" s="570"/>
      <c r="AS131" s="570"/>
      <c r="AT131" s="570"/>
      <c r="AU131" s="570"/>
      <c r="AV131" s="570"/>
      <c r="AW131" s="570"/>
      <c r="AX131" s="570"/>
      <c r="AY131" s="570"/>
      <c r="AZ131" s="570"/>
      <c r="BA131" s="570"/>
      <c r="BB131" s="570"/>
      <c r="BC131" s="570"/>
      <c r="BD131" s="570"/>
      <c r="BE131" s="570"/>
      <c r="BF131" s="570"/>
      <c r="BG131" s="570"/>
      <c r="BH131" s="570"/>
      <c r="BI131" s="570"/>
      <c r="BJ131" s="570"/>
      <c r="BK131" s="570"/>
      <c r="BL131" s="572"/>
    </row>
    <row r="132" spans="3:64" s="577" customFormat="1" ht="6" customHeight="1">
      <c r="C132" s="580"/>
      <c r="D132" s="578"/>
      <c r="E132" s="579"/>
      <c r="F132" s="579"/>
      <c r="G132" s="579"/>
      <c r="H132" s="579"/>
      <c r="I132" s="579"/>
      <c r="J132" s="579"/>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6"/>
      <c r="AJ132" s="571"/>
      <c r="AK132" s="570"/>
      <c r="AL132" s="570"/>
      <c r="AM132" s="570"/>
      <c r="AN132" s="570"/>
      <c r="AO132" s="570"/>
      <c r="AP132" s="570"/>
      <c r="AR132" s="570"/>
      <c r="AS132" s="570"/>
      <c r="AT132" s="570"/>
      <c r="AU132" s="570"/>
      <c r="AV132" s="570"/>
      <c r="AW132" s="570"/>
      <c r="AX132" s="570"/>
      <c r="AY132" s="570"/>
      <c r="AZ132" s="570"/>
      <c r="BA132" s="570"/>
      <c r="BB132" s="570"/>
      <c r="BC132" s="570"/>
      <c r="BD132" s="570"/>
      <c r="BE132" s="570"/>
      <c r="BF132" s="570"/>
      <c r="BG132" s="570"/>
      <c r="BH132" s="570"/>
      <c r="BI132" s="570"/>
      <c r="BJ132" s="570"/>
      <c r="BK132" s="570"/>
      <c r="BL132" s="572"/>
    </row>
    <row r="133" spans="3:64" s="577" customFormat="1">
      <c r="C133" s="577" t="s">
        <v>71</v>
      </c>
      <c r="D133" s="578"/>
      <c r="E133" s="579"/>
      <c r="F133" s="579"/>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6"/>
      <c r="AJ133" s="571"/>
      <c r="AK133" s="570"/>
      <c r="AL133" s="570"/>
      <c r="AM133" s="570"/>
      <c r="AN133" s="570"/>
      <c r="AO133" s="570"/>
      <c r="AP133" s="570"/>
      <c r="AR133" s="570"/>
      <c r="AS133" s="570"/>
      <c r="AT133" s="570"/>
      <c r="AU133" s="570"/>
      <c r="AV133" s="570"/>
      <c r="AW133" s="570"/>
      <c r="AX133" s="570"/>
      <c r="AY133" s="570"/>
      <c r="AZ133" s="570"/>
      <c r="BA133" s="570"/>
      <c r="BB133" s="570"/>
      <c r="BC133" s="570"/>
      <c r="BD133" s="570"/>
      <c r="BE133" s="570"/>
      <c r="BF133" s="570"/>
      <c r="BG133" s="570"/>
      <c r="BH133" s="570"/>
      <c r="BI133" s="570"/>
      <c r="BJ133" s="570"/>
      <c r="BK133" s="570"/>
      <c r="BL133" s="572"/>
    </row>
    <row r="134" spans="3:64" s="577" customFormat="1">
      <c r="C134" s="577" t="s">
        <v>72</v>
      </c>
      <c r="D134" s="578"/>
      <c r="E134" s="579"/>
      <c r="F134" s="579"/>
      <c r="G134" s="579"/>
      <c r="H134" s="579"/>
      <c r="I134" s="579"/>
      <c r="J134" s="579"/>
      <c r="K134" s="579"/>
      <c r="L134" s="579"/>
      <c r="M134" s="579"/>
      <c r="N134" s="579"/>
      <c r="O134" s="579"/>
      <c r="P134" s="579"/>
      <c r="Q134" s="579"/>
      <c r="R134" s="579"/>
      <c r="S134" s="579"/>
      <c r="T134" s="579"/>
      <c r="U134" s="579"/>
      <c r="V134" s="579"/>
      <c r="W134" s="579"/>
      <c r="X134" s="579"/>
      <c r="Y134" s="579"/>
      <c r="Z134" s="579"/>
      <c r="AA134" s="579"/>
      <c r="AB134" s="579"/>
      <c r="AC134" s="579"/>
      <c r="AD134" s="579"/>
      <c r="AE134" s="579"/>
      <c r="AF134" s="579"/>
      <c r="AG134" s="579"/>
      <c r="AH134" s="579"/>
      <c r="AI134" s="576"/>
      <c r="AJ134" s="571"/>
      <c r="AK134" s="570"/>
      <c r="AL134" s="570"/>
      <c r="AM134" s="570"/>
      <c r="AN134" s="570"/>
      <c r="AO134" s="570"/>
      <c r="AP134" s="570"/>
      <c r="AR134" s="570"/>
      <c r="AS134" s="570"/>
      <c r="AT134" s="570"/>
      <c r="AU134" s="570"/>
      <c r="AV134" s="570"/>
      <c r="AW134" s="570"/>
      <c r="AX134" s="570"/>
      <c r="AY134" s="570"/>
      <c r="AZ134" s="570"/>
      <c r="BA134" s="570"/>
      <c r="BB134" s="570"/>
      <c r="BC134" s="570"/>
      <c r="BD134" s="570"/>
      <c r="BE134" s="570"/>
      <c r="BF134" s="570"/>
      <c r="BG134" s="570"/>
      <c r="BH134" s="570"/>
      <c r="BI134" s="570"/>
      <c r="BJ134" s="570"/>
      <c r="BK134" s="570"/>
      <c r="BL134" s="572"/>
    </row>
    <row r="135" spans="3:64" s="577" customFormat="1" ht="6" customHeight="1">
      <c r="C135" s="580"/>
      <c r="D135" s="578"/>
      <c r="E135" s="579"/>
      <c r="F135" s="579"/>
      <c r="G135" s="579"/>
      <c r="H135" s="579"/>
      <c r="I135" s="579"/>
      <c r="J135" s="579"/>
      <c r="K135" s="579"/>
      <c r="L135" s="579"/>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6"/>
      <c r="AJ135" s="571"/>
      <c r="AK135" s="570"/>
      <c r="AL135" s="570"/>
      <c r="AM135" s="570"/>
      <c r="AN135" s="570"/>
      <c r="AO135" s="570"/>
      <c r="AP135" s="570"/>
      <c r="AR135" s="570"/>
      <c r="AS135" s="570"/>
      <c r="AT135" s="570"/>
      <c r="AU135" s="570"/>
      <c r="AV135" s="570"/>
      <c r="AW135" s="570"/>
      <c r="AX135" s="570"/>
      <c r="AY135" s="570"/>
      <c r="AZ135" s="570"/>
      <c r="BA135" s="570"/>
      <c r="BB135" s="570"/>
      <c r="BC135" s="570"/>
      <c r="BD135" s="570"/>
      <c r="BE135" s="570"/>
      <c r="BF135" s="570"/>
      <c r="BG135" s="570"/>
      <c r="BH135" s="570"/>
      <c r="BI135" s="570"/>
      <c r="BJ135" s="570"/>
      <c r="BK135" s="570"/>
      <c r="BL135" s="572"/>
    </row>
    <row r="136" spans="3:64" s="577" customFormat="1">
      <c r="C136" s="580" t="s">
        <v>79</v>
      </c>
      <c r="D136" s="578"/>
      <c r="E136" s="579"/>
      <c r="F136" s="579"/>
      <c r="G136" s="579"/>
      <c r="H136" s="579"/>
      <c r="I136" s="579"/>
      <c r="J136" s="579"/>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6"/>
      <c r="AJ136" s="571"/>
      <c r="AK136" s="570"/>
      <c r="AL136" s="570"/>
      <c r="AM136" s="570"/>
      <c r="AN136" s="570"/>
      <c r="AO136" s="570"/>
      <c r="AP136" s="570"/>
      <c r="AR136" s="570"/>
      <c r="AS136" s="570"/>
      <c r="AT136" s="570"/>
      <c r="AU136" s="570"/>
      <c r="AV136" s="570"/>
      <c r="AW136" s="570"/>
      <c r="AX136" s="570"/>
      <c r="AY136" s="570"/>
      <c r="AZ136" s="570"/>
      <c r="BA136" s="570"/>
      <c r="BB136" s="570"/>
      <c r="BC136" s="570"/>
      <c r="BD136" s="570"/>
      <c r="BE136" s="570"/>
      <c r="BF136" s="570"/>
      <c r="BG136" s="570"/>
      <c r="BH136" s="570"/>
      <c r="BI136" s="570"/>
      <c r="BJ136" s="570"/>
      <c r="BK136" s="570"/>
      <c r="BL136" s="572"/>
    </row>
    <row r="137" spans="3:64" s="577" customFormat="1">
      <c r="C137" s="577" t="s">
        <v>70</v>
      </c>
      <c r="D137" s="578"/>
      <c r="E137" s="579"/>
      <c r="F137" s="579"/>
      <c r="G137" s="579"/>
      <c r="H137" s="579"/>
      <c r="I137" s="579"/>
      <c r="J137" s="579"/>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6"/>
      <c r="AJ137" s="571"/>
      <c r="AK137" s="570"/>
      <c r="AL137" s="570"/>
      <c r="AM137" s="570"/>
      <c r="AN137" s="570"/>
      <c r="AO137" s="570"/>
      <c r="AP137" s="570"/>
      <c r="AR137" s="570"/>
      <c r="AS137" s="570"/>
      <c r="AT137" s="570"/>
      <c r="AU137" s="570"/>
      <c r="AV137" s="570"/>
      <c r="AW137" s="570"/>
      <c r="AX137" s="570"/>
      <c r="AY137" s="570"/>
      <c r="AZ137" s="570"/>
      <c r="BA137" s="570"/>
      <c r="BB137" s="570"/>
      <c r="BC137" s="570"/>
      <c r="BD137" s="570"/>
      <c r="BE137" s="570"/>
      <c r="BF137" s="570"/>
      <c r="BG137" s="570"/>
      <c r="BH137" s="570"/>
      <c r="BI137" s="570"/>
      <c r="BJ137" s="570"/>
      <c r="BK137" s="570"/>
      <c r="BL137" s="572"/>
    </row>
    <row r="138" spans="3:64" s="577" customFormat="1" ht="6" customHeight="1">
      <c r="C138" s="580"/>
      <c r="D138" s="578"/>
      <c r="E138" s="579"/>
      <c r="F138" s="579"/>
      <c r="G138" s="579"/>
      <c r="H138" s="579"/>
      <c r="I138" s="579"/>
      <c r="J138" s="579"/>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6"/>
      <c r="AJ138" s="571"/>
      <c r="AK138" s="570"/>
      <c r="AL138" s="570"/>
      <c r="AM138" s="570"/>
      <c r="AN138" s="570"/>
      <c r="AO138" s="570"/>
      <c r="AP138" s="570"/>
      <c r="AR138" s="570"/>
      <c r="AS138" s="570"/>
      <c r="AT138" s="570"/>
      <c r="AU138" s="570"/>
      <c r="AV138" s="570"/>
      <c r="AW138" s="570"/>
      <c r="AX138" s="570"/>
      <c r="AY138" s="570"/>
      <c r="AZ138" s="570"/>
      <c r="BA138" s="570"/>
      <c r="BB138" s="570"/>
      <c r="BC138" s="570"/>
      <c r="BD138" s="570"/>
      <c r="BE138" s="570"/>
      <c r="BF138" s="570"/>
      <c r="BG138" s="570"/>
      <c r="BH138" s="570"/>
      <c r="BI138" s="570"/>
      <c r="BJ138" s="570"/>
      <c r="BK138" s="570"/>
      <c r="BL138" s="572"/>
    </row>
    <row r="139" spans="3:64" s="577" customFormat="1">
      <c r="C139" s="577" t="s">
        <v>81</v>
      </c>
      <c r="D139" s="578"/>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6"/>
      <c r="AJ139" s="571"/>
      <c r="AK139" s="570"/>
      <c r="AL139" s="570"/>
      <c r="AM139" s="570"/>
      <c r="AN139" s="570"/>
      <c r="AO139" s="570"/>
      <c r="AP139" s="570"/>
      <c r="AR139" s="570"/>
      <c r="AS139" s="570"/>
      <c r="AT139" s="570"/>
      <c r="AU139" s="570"/>
      <c r="AV139" s="570"/>
      <c r="AW139" s="570"/>
      <c r="AX139" s="570"/>
      <c r="AY139" s="570"/>
      <c r="AZ139" s="570"/>
      <c r="BA139" s="570"/>
      <c r="BB139" s="570"/>
      <c r="BC139" s="570"/>
      <c r="BD139" s="570"/>
      <c r="BE139" s="570"/>
      <c r="BF139" s="570"/>
      <c r="BG139" s="570"/>
      <c r="BH139" s="570"/>
      <c r="BI139" s="570"/>
      <c r="BJ139" s="570"/>
      <c r="BK139" s="570"/>
      <c r="BL139" s="572"/>
    </row>
    <row r="140" spans="3:64" s="577" customFormat="1">
      <c r="C140" s="577" t="s">
        <v>82</v>
      </c>
      <c r="D140" s="578"/>
      <c r="E140" s="579"/>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6"/>
      <c r="AJ140" s="571"/>
      <c r="AK140" s="570"/>
      <c r="AL140" s="570"/>
      <c r="AM140" s="570"/>
      <c r="AN140" s="570"/>
      <c r="AO140" s="570"/>
      <c r="AP140" s="570"/>
      <c r="AR140" s="570"/>
      <c r="AS140" s="570"/>
      <c r="AT140" s="570"/>
      <c r="AU140" s="570"/>
      <c r="AV140" s="570"/>
      <c r="AW140" s="570"/>
      <c r="AX140" s="570"/>
      <c r="AY140" s="570"/>
      <c r="AZ140" s="570"/>
      <c r="BA140" s="570"/>
      <c r="BB140" s="570"/>
      <c r="BC140" s="570"/>
      <c r="BD140" s="570"/>
      <c r="BE140" s="570"/>
      <c r="BF140" s="570"/>
      <c r="BG140" s="570"/>
      <c r="BH140" s="570"/>
      <c r="BI140" s="570"/>
      <c r="BJ140" s="570"/>
      <c r="BK140" s="570"/>
      <c r="BL140" s="572"/>
    </row>
    <row r="141" spans="3:64" s="560" customFormat="1" ht="6" customHeight="1">
      <c r="C141" s="566"/>
      <c r="D141" s="564"/>
      <c r="E141" s="565"/>
      <c r="F141" s="565"/>
      <c r="G141" s="565"/>
      <c r="H141" s="565"/>
      <c r="I141" s="565"/>
      <c r="J141" s="565"/>
      <c r="K141" s="565"/>
      <c r="L141" s="565"/>
      <c r="M141" s="565"/>
      <c r="N141" s="565"/>
      <c r="O141" s="565"/>
      <c r="P141" s="565"/>
      <c r="Q141" s="565"/>
      <c r="R141" s="565"/>
      <c r="S141" s="565"/>
      <c r="T141" s="565"/>
      <c r="U141" s="565"/>
      <c r="V141" s="565"/>
      <c r="W141" s="565"/>
      <c r="X141" s="565"/>
      <c r="Y141" s="565"/>
      <c r="Z141" s="565"/>
      <c r="AA141" s="565"/>
      <c r="AB141" s="565"/>
      <c r="AC141" s="565"/>
      <c r="AD141" s="565"/>
      <c r="AE141" s="565"/>
      <c r="AF141" s="565"/>
      <c r="AG141" s="565"/>
      <c r="AH141" s="565"/>
      <c r="AI141" s="563"/>
      <c r="AJ141" s="561"/>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62"/>
    </row>
    <row r="142" spans="3:64" s="577" customFormat="1">
      <c r="C142" s="577" t="s">
        <v>502</v>
      </c>
      <c r="D142" s="578"/>
      <c r="E142" s="579"/>
      <c r="F142" s="579"/>
      <c r="G142" s="579"/>
      <c r="H142" s="579"/>
      <c r="I142" s="579"/>
      <c r="J142" s="579"/>
      <c r="K142" s="579"/>
      <c r="L142" s="579"/>
      <c r="M142" s="579"/>
      <c r="N142" s="579"/>
      <c r="O142" s="579"/>
      <c r="P142" s="579"/>
      <c r="Q142" s="579"/>
      <c r="R142" s="579"/>
      <c r="S142" s="579"/>
      <c r="T142" s="579"/>
      <c r="U142" s="579"/>
      <c r="V142" s="579"/>
      <c r="W142" s="579"/>
      <c r="X142" s="579"/>
      <c r="Y142" s="579"/>
      <c r="Z142" s="579"/>
      <c r="AA142" s="579"/>
      <c r="AB142" s="579"/>
      <c r="AC142" s="579"/>
      <c r="AD142" s="579"/>
      <c r="AE142" s="579"/>
      <c r="AF142" s="579"/>
      <c r="AG142" s="579"/>
      <c r="AH142" s="579"/>
      <c r="AI142" s="576"/>
      <c r="AJ142" s="571"/>
      <c r="AK142" s="570"/>
      <c r="AL142" s="570"/>
      <c r="AM142" s="570"/>
      <c r="AN142" s="570"/>
      <c r="AO142" s="570"/>
      <c r="AP142" s="570"/>
      <c r="AR142" s="570"/>
      <c r="AS142" s="570"/>
      <c r="AT142" s="570"/>
      <c r="AU142" s="570"/>
      <c r="AV142" s="570"/>
      <c r="AW142" s="570"/>
      <c r="AX142" s="570"/>
      <c r="AY142" s="570"/>
      <c r="AZ142" s="570"/>
      <c r="BA142" s="570"/>
      <c r="BB142" s="570"/>
      <c r="BC142" s="570"/>
      <c r="BD142" s="570"/>
      <c r="BE142" s="570"/>
      <c r="BF142" s="570"/>
      <c r="BG142" s="570"/>
      <c r="BH142" s="570"/>
      <c r="BI142" s="570"/>
      <c r="BJ142" s="570"/>
      <c r="BK142" s="570"/>
      <c r="BL142" s="572"/>
    </row>
    <row r="143" spans="3:64" s="560" customFormat="1">
      <c r="C143" s="577" t="s">
        <v>503</v>
      </c>
      <c r="D143" s="564"/>
      <c r="E143" s="565"/>
      <c r="F143" s="565"/>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3"/>
      <c r="AJ143" s="561"/>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62"/>
    </row>
    <row r="144" spans="3:64" s="560" customFormat="1" ht="6" customHeight="1">
      <c r="C144" s="566"/>
      <c r="D144" s="564"/>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3"/>
      <c r="AJ144" s="561"/>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62"/>
    </row>
    <row r="145" spans="3:64" s="577" customFormat="1" ht="6" customHeight="1">
      <c r="C145" s="580"/>
      <c r="D145" s="578"/>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6"/>
      <c r="AJ145" s="571"/>
      <c r="AK145" s="570"/>
      <c r="AL145" s="570"/>
      <c r="AM145" s="570"/>
      <c r="AN145" s="570"/>
      <c r="AO145" s="570"/>
      <c r="AP145" s="570"/>
      <c r="AR145" s="570"/>
      <c r="AS145" s="570"/>
      <c r="AT145" s="570"/>
      <c r="AU145" s="570"/>
      <c r="AV145" s="570"/>
      <c r="AW145" s="570"/>
      <c r="AX145" s="570"/>
      <c r="AY145" s="570"/>
      <c r="AZ145" s="570"/>
      <c r="BA145" s="570"/>
      <c r="BB145" s="570"/>
      <c r="BC145" s="570"/>
      <c r="BD145" s="570"/>
      <c r="BE145" s="570"/>
      <c r="BF145" s="570"/>
      <c r="BG145" s="570"/>
      <c r="BH145" s="570"/>
      <c r="BI145" s="570"/>
      <c r="BJ145" s="570"/>
      <c r="BK145" s="570"/>
      <c r="BL145" s="572"/>
    </row>
    <row r="146" spans="3:64" s="577" customFormat="1">
      <c r="C146" s="577" t="s">
        <v>87</v>
      </c>
      <c r="D146" s="578"/>
      <c r="E146" s="579"/>
      <c r="F146" s="579"/>
      <c r="G146" s="579"/>
      <c r="H146" s="579"/>
      <c r="I146" s="579"/>
      <c r="J146" s="579"/>
      <c r="K146" s="579"/>
      <c r="L146" s="579"/>
      <c r="M146" s="579"/>
      <c r="N146" s="579"/>
      <c r="O146" s="579"/>
      <c r="P146" s="579"/>
      <c r="Q146" s="579"/>
      <c r="R146" s="579"/>
      <c r="S146" s="579"/>
      <c r="T146" s="579"/>
      <c r="U146" s="579"/>
      <c r="V146" s="579"/>
      <c r="W146" s="579"/>
      <c r="X146" s="579"/>
      <c r="Y146" s="579"/>
      <c r="Z146" s="579"/>
      <c r="AA146" s="579"/>
      <c r="AB146" s="579"/>
      <c r="AC146" s="579"/>
      <c r="AD146" s="579"/>
      <c r="AE146" s="579"/>
      <c r="AF146" s="579"/>
      <c r="AG146" s="579"/>
      <c r="AH146" s="579"/>
      <c r="AI146" s="576"/>
      <c r="AJ146" s="571"/>
      <c r="AK146" s="570"/>
      <c r="AL146" s="570"/>
      <c r="AM146" s="570"/>
      <c r="AN146" s="570"/>
      <c r="AO146" s="570"/>
      <c r="AP146" s="570"/>
      <c r="AR146" s="570"/>
      <c r="AS146" s="570"/>
      <c r="AT146" s="570"/>
      <c r="AU146" s="570"/>
      <c r="AV146" s="570"/>
      <c r="AW146" s="570"/>
      <c r="AX146" s="570"/>
      <c r="AY146" s="570"/>
      <c r="AZ146" s="570"/>
      <c r="BA146" s="570"/>
      <c r="BB146" s="570"/>
      <c r="BC146" s="570"/>
      <c r="BD146" s="570"/>
      <c r="BE146" s="570"/>
      <c r="BF146" s="570"/>
      <c r="BG146" s="570"/>
      <c r="BH146" s="570"/>
      <c r="BI146" s="570"/>
      <c r="BJ146" s="570"/>
      <c r="BK146" s="570"/>
      <c r="BL146" s="572"/>
    </row>
    <row r="147" spans="3:64" s="577" customFormat="1">
      <c r="C147" s="577" t="s">
        <v>91</v>
      </c>
      <c r="D147" s="578"/>
      <c r="E147" s="579"/>
      <c r="F147" s="579"/>
      <c r="G147" s="579"/>
      <c r="H147" s="579"/>
      <c r="I147" s="579"/>
      <c r="J147" s="579"/>
      <c r="K147" s="579"/>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6"/>
      <c r="AJ147" s="571"/>
      <c r="AK147" s="570"/>
      <c r="AL147" s="570"/>
      <c r="AM147" s="570"/>
      <c r="AN147" s="570"/>
      <c r="AO147" s="570"/>
      <c r="AP147" s="570"/>
      <c r="AR147" s="570"/>
      <c r="AS147" s="570"/>
      <c r="AT147" s="570"/>
      <c r="AU147" s="570"/>
      <c r="AV147" s="570"/>
      <c r="AW147" s="570"/>
      <c r="AX147" s="570"/>
      <c r="AY147" s="570"/>
      <c r="AZ147" s="570"/>
      <c r="BA147" s="570"/>
      <c r="BB147" s="570"/>
      <c r="BC147" s="570"/>
      <c r="BD147" s="570"/>
      <c r="BE147" s="570"/>
      <c r="BF147" s="570"/>
      <c r="BG147" s="570"/>
      <c r="BH147" s="570"/>
      <c r="BI147" s="570"/>
      <c r="BJ147" s="570"/>
      <c r="BK147" s="570"/>
      <c r="BL147" s="572"/>
    </row>
    <row r="148" spans="3:64" s="577" customFormat="1" ht="6" customHeight="1">
      <c r="C148" s="580"/>
      <c r="D148" s="578"/>
      <c r="E148" s="579"/>
      <c r="F148" s="579"/>
      <c r="G148" s="579"/>
      <c r="H148" s="579"/>
      <c r="I148" s="579"/>
      <c r="J148" s="579"/>
      <c r="K148" s="579"/>
      <c r="L148" s="579"/>
      <c r="M148" s="579"/>
      <c r="N148" s="579"/>
      <c r="O148" s="579"/>
      <c r="P148" s="579"/>
      <c r="Q148" s="579"/>
      <c r="R148" s="579"/>
      <c r="S148" s="579"/>
      <c r="T148" s="579"/>
      <c r="U148" s="579"/>
      <c r="V148" s="579"/>
      <c r="W148" s="579"/>
      <c r="X148" s="579"/>
      <c r="Y148" s="579"/>
      <c r="Z148" s="579"/>
      <c r="AA148" s="579"/>
      <c r="AB148" s="579"/>
      <c r="AC148" s="579"/>
      <c r="AD148" s="579"/>
      <c r="AE148" s="579"/>
      <c r="AF148" s="579"/>
      <c r="AG148" s="579"/>
      <c r="AH148" s="579"/>
      <c r="AI148" s="576"/>
      <c r="AJ148" s="571"/>
      <c r="AK148" s="570"/>
      <c r="AL148" s="570"/>
      <c r="AM148" s="570"/>
      <c r="AN148" s="570"/>
      <c r="AO148" s="570"/>
      <c r="AP148" s="570"/>
      <c r="AR148" s="570"/>
      <c r="AS148" s="570"/>
      <c r="AT148" s="570"/>
      <c r="AU148" s="570"/>
      <c r="AV148" s="570"/>
      <c r="AW148" s="570"/>
      <c r="AX148" s="570"/>
      <c r="AY148" s="570"/>
      <c r="AZ148" s="570"/>
      <c r="BA148" s="570"/>
      <c r="BB148" s="570"/>
      <c r="BC148" s="570"/>
      <c r="BD148" s="570"/>
      <c r="BE148" s="570"/>
      <c r="BF148" s="570"/>
      <c r="BG148" s="570"/>
      <c r="BH148" s="570"/>
      <c r="BI148" s="570"/>
      <c r="BJ148" s="570"/>
      <c r="BK148" s="570"/>
      <c r="BL148" s="572"/>
    </row>
    <row r="149" spans="3:64" s="577" customFormat="1">
      <c r="C149" s="580" t="s">
        <v>83</v>
      </c>
      <c r="D149" s="578"/>
      <c r="E149" s="579"/>
      <c r="F149" s="579"/>
      <c r="G149" s="579"/>
      <c r="H149" s="579"/>
      <c r="I149" s="579"/>
      <c r="J149" s="579"/>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6"/>
      <c r="AJ149" s="571"/>
      <c r="AK149" s="570"/>
      <c r="AL149" s="570"/>
      <c r="AM149" s="570"/>
      <c r="AN149" s="570"/>
      <c r="AO149" s="570"/>
      <c r="AP149" s="570"/>
      <c r="AR149" s="570"/>
      <c r="AS149" s="570"/>
      <c r="AT149" s="570"/>
      <c r="AU149" s="570"/>
      <c r="AV149" s="570"/>
      <c r="AW149" s="570"/>
      <c r="AX149" s="570"/>
      <c r="AY149" s="570"/>
      <c r="AZ149" s="570"/>
      <c r="BA149" s="570"/>
      <c r="BB149" s="570"/>
      <c r="BC149" s="570"/>
      <c r="BD149" s="570"/>
      <c r="BE149" s="570"/>
      <c r="BF149" s="570"/>
      <c r="BG149" s="570"/>
      <c r="BH149" s="570"/>
      <c r="BI149" s="570"/>
      <c r="BJ149" s="570"/>
      <c r="BK149" s="570"/>
      <c r="BL149" s="572"/>
    </row>
    <row r="150" spans="3:64" s="577" customFormat="1">
      <c r="C150" s="577" t="s">
        <v>84</v>
      </c>
      <c r="D150" s="578"/>
      <c r="E150" s="579"/>
      <c r="F150" s="579"/>
      <c r="G150" s="579"/>
      <c r="H150" s="579"/>
      <c r="I150" s="579"/>
      <c r="J150" s="579"/>
      <c r="K150" s="579"/>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79"/>
      <c r="AH150" s="579"/>
      <c r="AI150" s="576"/>
      <c r="AJ150" s="571"/>
      <c r="AK150" s="570"/>
      <c r="AL150" s="570"/>
      <c r="AM150" s="570"/>
      <c r="AN150" s="570"/>
      <c r="AO150" s="570"/>
      <c r="AP150" s="570"/>
      <c r="AR150" s="570"/>
      <c r="AS150" s="570"/>
      <c r="AT150" s="570"/>
      <c r="AU150" s="570"/>
      <c r="AV150" s="570"/>
      <c r="AW150" s="570"/>
      <c r="AX150" s="570"/>
      <c r="AY150" s="570"/>
      <c r="AZ150" s="570"/>
      <c r="BA150" s="570"/>
      <c r="BB150" s="570"/>
      <c r="BC150" s="570"/>
      <c r="BD150" s="570"/>
      <c r="BE150" s="570"/>
      <c r="BF150" s="570"/>
      <c r="BG150" s="570"/>
      <c r="BH150" s="570"/>
      <c r="BI150" s="570"/>
      <c r="BJ150" s="570"/>
      <c r="BK150" s="570"/>
      <c r="BL150" s="572"/>
    </row>
    <row r="151" spans="3:64" s="577" customFormat="1" ht="6" customHeight="1">
      <c r="C151" s="580"/>
      <c r="D151" s="578"/>
      <c r="E151" s="579"/>
      <c r="F151" s="579"/>
      <c r="G151" s="579"/>
      <c r="H151" s="579"/>
      <c r="I151" s="579"/>
      <c r="J151" s="579"/>
      <c r="K151" s="579"/>
      <c r="L151" s="579"/>
      <c r="M151" s="579"/>
      <c r="N151" s="579"/>
      <c r="O151" s="579"/>
      <c r="P151" s="579"/>
      <c r="Q151" s="579"/>
      <c r="R151" s="579"/>
      <c r="S151" s="579"/>
      <c r="T151" s="579"/>
      <c r="U151" s="579"/>
      <c r="V151" s="579"/>
      <c r="W151" s="579"/>
      <c r="X151" s="579"/>
      <c r="Y151" s="579"/>
      <c r="Z151" s="579"/>
      <c r="AA151" s="579"/>
      <c r="AB151" s="579"/>
      <c r="AC151" s="579"/>
      <c r="AD151" s="579"/>
      <c r="AE151" s="579"/>
      <c r="AF151" s="579"/>
      <c r="AG151" s="579"/>
      <c r="AH151" s="579"/>
      <c r="AI151" s="576"/>
      <c r="AJ151" s="571"/>
      <c r="AK151" s="570"/>
      <c r="AL151" s="570"/>
      <c r="AM151" s="570"/>
      <c r="AN151" s="570"/>
      <c r="AO151" s="570"/>
      <c r="AP151" s="570"/>
      <c r="AR151" s="570"/>
      <c r="AS151" s="570"/>
      <c r="AT151" s="570"/>
      <c r="AU151" s="570"/>
      <c r="AV151" s="570"/>
      <c r="AW151" s="570"/>
      <c r="AX151" s="570"/>
      <c r="AY151" s="570"/>
      <c r="AZ151" s="570"/>
      <c r="BA151" s="570"/>
      <c r="BB151" s="570"/>
      <c r="BC151" s="570"/>
      <c r="BD151" s="570"/>
      <c r="BE151" s="570"/>
      <c r="BF151" s="570"/>
      <c r="BG151" s="570"/>
      <c r="BH151" s="570"/>
      <c r="BI151" s="570"/>
      <c r="BJ151" s="570"/>
      <c r="BK151" s="570"/>
      <c r="BL151" s="572"/>
    </row>
    <row r="152" spans="3:64" s="577" customFormat="1">
      <c r="C152" s="580" t="s">
        <v>88</v>
      </c>
      <c r="D152" s="578"/>
      <c r="E152" s="579"/>
      <c r="F152" s="579"/>
      <c r="G152" s="579"/>
      <c r="H152" s="579"/>
      <c r="I152" s="579"/>
      <c r="J152" s="579"/>
      <c r="K152" s="579"/>
      <c r="L152" s="579"/>
      <c r="M152" s="579"/>
      <c r="N152" s="579"/>
      <c r="O152" s="579"/>
      <c r="P152" s="579"/>
      <c r="Q152" s="579"/>
      <c r="R152" s="579"/>
      <c r="S152" s="579"/>
      <c r="T152" s="579"/>
      <c r="U152" s="579"/>
      <c r="V152" s="579"/>
      <c r="W152" s="579"/>
      <c r="X152" s="579"/>
      <c r="Y152" s="579"/>
      <c r="Z152" s="579"/>
      <c r="AA152" s="579"/>
      <c r="AB152" s="579"/>
      <c r="AC152" s="579"/>
      <c r="AD152" s="579"/>
      <c r="AE152" s="579"/>
      <c r="AF152" s="579"/>
      <c r="AG152" s="579"/>
      <c r="AH152" s="579"/>
      <c r="AI152" s="576"/>
      <c r="AJ152" s="571"/>
      <c r="AK152" s="570"/>
      <c r="AL152" s="570"/>
      <c r="AM152" s="570"/>
      <c r="AN152" s="570"/>
      <c r="AO152" s="570"/>
      <c r="AP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2"/>
    </row>
    <row r="153" spans="3:64" s="577" customFormat="1">
      <c r="C153" s="577" t="s">
        <v>89</v>
      </c>
      <c r="D153" s="578"/>
      <c r="E153" s="579"/>
      <c r="F153" s="579"/>
      <c r="G153" s="579"/>
      <c r="H153" s="579"/>
      <c r="I153" s="579"/>
      <c r="J153" s="579"/>
      <c r="K153" s="579"/>
      <c r="L153" s="579"/>
      <c r="M153" s="579"/>
      <c r="N153" s="579"/>
      <c r="O153" s="579"/>
      <c r="P153" s="579"/>
      <c r="Q153" s="579"/>
      <c r="R153" s="579"/>
      <c r="S153" s="579"/>
      <c r="T153" s="579"/>
      <c r="U153" s="579"/>
      <c r="V153" s="579"/>
      <c r="W153" s="579"/>
      <c r="X153" s="579"/>
      <c r="Y153" s="579"/>
      <c r="Z153" s="579"/>
      <c r="AA153" s="579"/>
      <c r="AB153" s="579"/>
      <c r="AC153" s="579"/>
      <c r="AD153" s="579"/>
      <c r="AE153" s="579"/>
      <c r="AF153" s="579"/>
      <c r="AG153" s="579"/>
      <c r="AH153" s="579"/>
      <c r="AI153" s="576"/>
      <c r="AJ153" s="571"/>
      <c r="AK153" s="570"/>
      <c r="AL153" s="570"/>
      <c r="AM153" s="570"/>
      <c r="AN153" s="570"/>
      <c r="AO153" s="570"/>
      <c r="AP153" s="570"/>
      <c r="AR153" s="570"/>
      <c r="AS153" s="570"/>
      <c r="AT153" s="570"/>
      <c r="AU153" s="570"/>
      <c r="AV153" s="570"/>
      <c r="AW153" s="570"/>
      <c r="AX153" s="570"/>
      <c r="AY153" s="570"/>
      <c r="AZ153" s="570"/>
      <c r="BA153" s="570"/>
      <c r="BB153" s="570"/>
      <c r="BC153" s="570"/>
      <c r="BD153" s="570"/>
      <c r="BE153" s="570"/>
      <c r="BF153" s="570"/>
      <c r="BG153" s="570"/>
      <c r="BH153" s="570"/>
      <c r="BI153" s="570"/>
      <c r="BJ153" s="570"/>
      <c r="BK153" s="570"/>
      <c r="BL153" s="572"/>
    </row>
    <row r="154" spans="3:64" s="577" customFormat="1" ht="6" customHeight="1">
      <c r="C154" s="580"/>
      <c r="D154" s="578"/>
      <c r="E154" s="579"/>
      <c r="F154" s="579"/>
      <c r="G154" s="579"/>
      <c r="H154" s="579"/>
      <c r="I154" s="579"/>
      <c r="J154" s="579"/>
      <c r="K154" s="579"/>
      <c r="L154" s="579"/>
      <c r="M154" s="579"/>
      <c r="N154" s="579"/>
      <c r="O154" s="579"/>
      <c r="P154" s="579"/>
      <c r="Q154" s="579"/>
      <c r="R154" s="579"/>
      <c r="S154" s="579"/>
      <c r="T154" s="579"/>
      <c r="U154" s="579"/>
      <c r="V154" s="579"/>
      <c r="W154" s="579"/>
      <c r="X154" s="579"/>
      <c r="Y154" s="579"/>
      <c r="Z154" s="579"/>
      <c r="AA154" s="579"/>
      <c r="AB154" s="579"/>
      <c r="AC154" s="579"/>
      <c r="AD154" s="579"/>
      <c r="AE154" s="579"/>
      <c r="AF154" s="579"/>
      <c r="AG154" s="579"/>
      <c r="AH154" s="579"/>
      <c r="AI154" s="576"/>
      <c r="AJ154" s="571"/>
      <c r="AK154" s="570"/>
      <c r="AL154" s="570"/>
      <c r="AM154" s="570"/>
      <c r="AN154" s="570"/>
      <c r="AO154" s="570"/>
      <c r="AP154" s="570"/>
      <c r="AR154" s="570"/>
      <c r="AS154" s="570"/>
      <c r="AT154" s="570"/>
      <c r="AU154" s="570"/>
      <c r="AV154" s="570"/>
      <c r="AW154" s="570"/>
      <c r="AX154" s="570"/>
      <c r="AY154" s="570"/>
      <c r="AZ154" s="570"/>
      <c r="BA154" s="570"/>
      <c r="BB154" s="570"/>
      <c r="BC154" s="570"/>
      <c r="BD154" s="570"/>
      <c r="BE154" s="570"/>
      <c r="BF154" s="570"/>
      <c r="BG154" s="570"/>
      <c r="BH154" s="570"/>
      <c r="BI154" s="570"/>
      <c r="BJ154" s="570"/>
      <c r="BK154" s="570"/>
      <c r="BL154" s="572"/>
    </row>
    <row r="155" spans="3:64" s="574" customFormat="1">
      <c r="C155" s="589" t="s">
        <v>80</v>
      </c>
      <c r="D155" s="578"/>
      <c r="E155" s="575"/>
      <c r="F155" s="579"/>
      <c r="G155" s="579"/>
      <c r="H155" s="579"/>
      <c r="I155" s="579"/>
      <c r="J155" s="579"/>
      <c r="K155" s="579"/>
      <c r="L155" s="579"/>
      <c r="M155" s="579"/>
      <c r="N155" s="579"/>
      <c r="O155" s="579"/>
      <c r="P155" s="579"/>
      <c r="Q155" s="579"/>
      <c r="R155" s="579"/>
      <c r="S155" s="579"/>
      <c r="T155" s="579"/>
      <c r="U155" s="579"/>
      <c r="V155" s="579"/>
      <c r="W155" s="579"/>
      <c r="X155" s="579"/>
      <c r="Y155" s="579"/>
      <c r="Z155" s="579"/>
      <c r="AA155" s="579"/>
      <c r="AB155" s="579"/>
      <c r="AC155" s="579"/>
      <c r="AD155" s="579"/>
      <c r="AE155" s="579"/>
      <c r="AF155" s="579"/>
      <c r="AG155" s="579"/>
      <c r="AH155" s="579"/>
      <c r="AI155" s="576"/>
      <c r="AJ155" s="571"/>
      <c r="AK155" s="570"/>
      <c r="AL155" s="570"/>
      <c r="AM155" s="570"/>
      <c r="AN155" s="570"/>
      <c r="AO155" s="570"/>
      <c r="AP155" s="570"/>
      <c r="AR155" s="570"/>
      <c r="AS155" s="570"/>
      <c r="AT155" s="570"/>
      <c r="AU155" s="570"/>
      <c r="AV155" s="570"/>
      <c r="AW155" s="570"/>
      <c r="AX155" s="570"/>
      <c r="AY155" s="570"/>
      <c r="AZ155" s="570"/>
      <c r="BA155" s="570"/>
      <c r="BB155" s="570"/>
      <c r="BC155" s="570"/>
      <c r="BD155" s="570"/>
      <c r="BE155" s="570"/>
      <c r="BF155" s="570"/>
      <c r="BG155" s="570"/>
      <c r="BH155" s="570"/>
      <c r="BI155" s="570"/>
      <c r="BJ155" s="570"/>
      <c r="BK155" s="570"/>
      <c r="BL155" s="572"/>
    </row>
    <row r="156" spans="3:64" s="577" customFormat="1">
      <c r="C156" s="589" t="s">
        <v>61</v>
      </c>
      <c r="E156" s="590"/>
      <c r="F156" s="576"/>
      <c r="G156" s="591"/>
      <c r="H156" s="591"/>
      <c r="I156" s="591"/>
      <c r="J156" s="591"/>
      <c r="K156" s="591"/>
      <c r="L156" s="591"/>
      <c r="M156" s="591"/>
      <c r="N156" s="591"/>
      <c r="O156" s="591"/>
      <c r="P156" s="591"/>
      <c r="Q156" s="591"/>
      <c r="R156" s="591"/>
      <c r="S156" s="591"/>
      <c r="T156" s="591"/>
      <c r="U156" s="576"/>
      <c r="V156" s="591"/>
      <c r="W156" s="591"/>
      <c r="X156" s="591"/>
      <c r="Y156" s="591"/>
      <c r="Z156" s="591"/>
      <c r="AA156" s="591"/>
      <c r="AB156" s="591"/>
      <c r="AC156" s="591"/>
      <c r="AD156" s="591"/>
      <c r="AE156" s="591"/>
      <c r="AF156" s="591"/>
      <c r="AG156" s="591"/>
      <c r="AH156" s="591"/>
      <c r="AI156" s="576"/>
      <c r="AJ156" s="571"/>
      <c r="AK156" s="570"/>
      <c r="AL156" s="570"/>
      <c r="AM156" s="570"/>
      <c r="AN156" s="570"/>
      <c r="AO156" s="570"/>
      <c r="AP156" s="570"/>
      <c r="AR156" s="570"/>
      <c r="AS156" s="570"/>
      <c r="AT156" s="570"/>
      <c r="AU156" s="570"/>
      <c r="AV156" s="570"/>
      <c r="AW156" s="570"/>
      <c r="AX156" s="570"/>
      <c r="AY156" s="570"/>
      <c r="AZ156" s="570"/>
      <c r="BA156" s="570"/>
      <c r="BB156" s="570"/>
      <c r="BC156" s="570"/>
      <c r="BD156" s="570"/>
      <c r="BE156" s="570"/>
      <c r="BF156" s="570"/>
      <c r="BG156" s="570"/>
      <c r="BH156" s="570"/>
      <c r="BI156" s="570"/>
      <c r="BJ156" s="570"/>
      <c r="BK156" s="570"/>
      <c r="BL156" s="572"/>
    </row>
    <row r="157" spans="3:64" s="560" customFormat="1">
      <c r="C157" s="567"/>
      <c r="E157" s="568"/>
      <c r="F157" s="563"/>
      <c r="U157" s="563"/>
      <c r="AI157" s="563"/>
      <c r="AJ157" s="561"/>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62"/>
    </row>
    <row r="158" spans="3:64" s="560" customFormat="1">
      <c r="C158" s="589" t="s">
        <v>499</v>
      </c>
      <c r="E158" s="568"/>
      <c r="F158" s="563"/>
      <c r="U158" s="563"/>
      <c r="AI158" s="563"/>
      <c r="AJ158" s="561"/>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62"/>
    </row>
    <row r="159" spans="3:64" s="560" customFormat="1">
      <c r="C159" s="589" t="s">
        <v>500</v>
      </c>
      <c r="E159" s="568"/>
      <c r="F159" s="563"/>
      <c r="U159" s="563"/>
      <c r="AI159" s="563"/>
      <c r="AJ159" s="561"/>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62"/>
    </row>
    <row r="160" spans="3:64" s="560" customFormat="1">
      <c r="C160" s="569"/>
      <c r="E160" s="568"/>
      <c r="F160" s="563"/>
      <c r="U160" s="563"/>
      <c r="AI160" s="563"/>
      <c r="AJ160" s="561"/>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62"/>
    </row>
    <row r="161" spans="3:64" s="560" customFormat="1">
      <c r="C161" s="569"/>
      <c r="E161" s="568"/>
      <c r="F161" s="563"/>
      <c r="U161" s="563"/>
      <c r="AI161" s="563"/>
      <c r="AJ161" s="561"/>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62"/>
    </row>
    <row r="162" spans="3:64" s="560" customFormat="1">
      <c r="E162" s="568"/>
      <c r="F162" s="563"/>
      <c r="U162" s="563"/>
      <c r="AI162" s="563"/>
      <c r="AJ162" s="561"/>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62"/>
    </row>
    <row r="163" spans="3:64" s="560" customFormat="1">
      <c r="C163" s="569"/>
      <c r="E163" s="568"/>
      <c r="F163" s="563"/>
      <c r="U163" s="563"/>
      <c r="AI163" s="563"/>
      <c r="AJ163" s="561"/>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62"/>
    </row>
    <row r="164" spans="3:64" s="560" customFormat="1">
      <c r="C164" s="569"/>
      <c r="E164" s="568"/>
      <c r="F164" s="563"/>
      <c r="U164" s="563"/>
      <c r="AI164" s="563"/>
      <c r="AJ164" s="561"/>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62"/>
    </row>
    <row r="165" spans="3:64" s="560" customFormat="1">
      <c r="C165" s="569"/>
      <c r="E165" s="568"/>
      <c r="F165" s="563"/>
      <c r="U165" s="563"/>
      <c r="AI165" s="563"/>
      <c r="AJ165" s="561"/>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62"/>
    </row>
    <row r="166" spans="3:64" s="560" customFormat="1">
      <c r="E166" s="568"/>
      <c r="F166" s="563"/>
      <c r="U166" s="563"/>
      <c r="AI166" s="563"/>
      <c r="AJ166" s="561"/>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62"/>
    </row>
    <row r="167" spans="3:64" s="560" customFormat="1">
      <c r="E167" s="568"/>
      <c r="F167" s="563"/>
      <c r="U167" s="563"/>
      <c r="AI167" s="563"/>
      <c r="AJ167" s="561"/>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62"/>
    </row>
    <row r="168" spans="3:64" s="560" customFormat="1">
      <c r="E168" s="568"/>
      <c r="F168" s="563"/>
      <c r="U168" s="563"/>
      <c r="AI168" s="563"/>
      <c r="AJ168" s="561"/>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62"/>
    </row>
    <row r="169" spans="3:64" s="560" customFormat="1">
      <c r="E169" s="568"/>
      <c r="F169" s="563"/>
      <c r="U169" s="563"/>
      <c r="AI169" s="563"/>
      <c r="AJ169" s="561"/>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62"/>
    </row>
    <row r="170" spans="3:64" s="560" customFormat="1">
      <c r="E170" s="568"/>
      <c r="F170" s="563"/>
      <c r="U170" s="563"/>
      <c r="AI170" s="563"/>
      <c r="AJ170" s="561"/>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62"/>
    </row>
    <row r="171" spans="3:64" s="560" customFormat="1">
      <c r="E171" s="568"/>
      <c r="F171" s="563"/>
      <c r="U171" s="563"/>
      <c r="AI171" s="563"/>
      <c r="AJ171" s="561"/>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62"/>
    </row>
    <row r="172" spans="3:64" s="560" customFormat="1">
      <c r="E172" s="568"/>
      <c r="F172" s="563"/>
      <c r="U172" s="563"/>
      <c r="AI172" s="563"/>
      <c r="AJ172" s="561"/>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62"/>
    </row>
    <row r="173" spans="3:64" s="560" customFormat="1">
      <c r="E173" s="568"/>
      <c r="F173" s="563"/>
      <c r="U173" s="563"/>
      <c r="AI173" s="563"/>
      <c r="AJ173" s="561"/>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62"/>
    </row>
    <row r="174" spans="3:64" s="560" customFormat="1">
      <c r="E174" s="568"/>
      <c r="F174" s="563"/>
      <c r="U174" s="563"/>
      <c r="AI174" s="563"/>
      <c r="AJ174" s="561"/>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62"/>
    </row>
    <row r="175" spans="3:64" s="560" customFormat="1">
      <c r="E175" s="568"/>
      <c r="F175" s="563"/>
      <c r="U175" s="563"/>
      <c r="AI175" s="563"/>
      <c r="AJ175" s="561"/>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62"/>
    </row>
    <row r="176" spans="3:64" s="560" customFormat="1">
      <c r="E176" s="568"/>
      <c r="F176" s="563"/>
      <c r="U176" s="563"/>
      <c r="AI176" s="563"/>
      <c r="AJ176" s="561"/>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62"/>
    </row>
    <row r="177" spans="5:64" s="560" customFormat="1">
      <c r="E177" s="568"/>
      <c r="F177" s="563"/>
      <c r="U177" s="563"/>
      <c r="AI177" s="563"/>
      <c r="AJ177" s="561"/>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62"/>
    </row>
    <row r="178" spans="5:64" s="560" customFormat="1">
      <c r="E178" s="568"/>
      <c r="F178" s="563"/>
      <c r="U178" s="563"/>
      <c r="AI178" s="563"/>
      <c r="AJ178" s="561"/>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62"/>
    </row>
    <row r="179" spans="5:64" s="560" customFormat="1">
      <c r="E179" s="568"/>
      <c r="F179" s="563"/>
      <c r="U179" s="563"/>
      <c r="AI179" s="563"/>
      <c r="AJ179" s="561"/>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62"/>
    </row>
    <row r="180" spans="5:64" s="560" customFormat="1">
      <c r="E180" s="568"/>
      <c r="F180" s="563"/>
      <c r="U180" s="563"/>
      <c r="AI180" s="563"/>
      <c r="AJ180" s="561"/>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62"/>
    </row>
    <row r="181" spans="5:64" s="560" customFormat="1">
      <c r="E181" s="568"/>
      <c r="F181" s="563"/>
      <c r="U181" s="563"/>
      <c r="AI181" s="563"/>
      <c r="AJ181" s="561"/>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62"/>
    </row>
    <row r="182" spans="5:64" s="560" customFormat="1">
      <c r="E182" s="568"/>
      <c r="F182" s="563"/>
      <c r="U182" s="563"/>
      <c r="AI182" s="563"/>
      <c r="AJ182" s="561"/>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62"/>
    </row>
    <row r="183" spans="5:64" s="560" customFormat="1">
      <c r="E183" s="568"/>
      <c r="F183" s="563"/>
      <c r="U183" s="563"/>
      <c r="AI183" s="563"/>
      <c r="AJ183" s="561"/>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62"/>
    </row>
    <row r="184" spans="5:64" s="560" customFormat="1">
      <c r="E184" s="568"/>
      <c r="F184" s="563"/>
      <c r="U184" s="563"/>
      <c r="AI184" s="563"/>
      <c r="AJ184" s="561"/>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62"/>
    </row>
    <row r="185" spans="5:64" s="560" customFormat="1">
      <c r="E185" s="568"/>
      <c r="F185" s="563"/>
      <c r="U185" s="563"/>
      <c r="AI185" s="563"/>
      <c r="AJ185" s="561"/>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62"/>
    </row>
    <row r="186" spans="5:64" s="560" customFormat="1">
      <c r="E186" s="568"/>
      <c r="F186" s="563"/>
      <c r="U186" s="563"/>
      <c r="AI186" s="563"/>
      <c r="AJ186" s="561"/>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62"/>
    </row>
    <row r="187" spans="5:64" s="560" customFormat="1">
      <c r="E187" s="568"/>
      <c r="F187" s="563"/>
      <c r="U187" s="563"/>
      <c r="AI187" s="563"/>
      <c r="AJ187" s="561"/>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62"/>
    </row>
    <row r="188" spans="5:64" s="560" customFormat="1">
      <c r="E188" s="568"/>
      <c r="F188" s="563"/>
      <c r="U188" s="563"/>
      <c r="AI188" s="563"/>
      <c r="AJ188" s="561"/>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62"/>
    </row>
    <row r="189" spans="5:64" s="560" customFormat="1">
      <c r="E189" s="568"/>
      <c r="F189" s="563"/>
      <c r="U189" s="563"/>
      <c r="AI189" s="563"/>
      <c r="AJ189" s="561"/>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62"/>
    </row>
    <row r="190" spans="5:64" s="560" customFormat="1">
      <c r="E190" s="568"/>
      <c r="F190" s="563"/>
      <c r="U190" s="563"/>
      <c r="AI190" s="563"/>
      <c r="AJ190" s="561"/>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62"/>
    </row>
    <row r="191" spans="5:64" s="560" customFormat="1">
      <c r="E191" s="568"/>
      <c r="F191" s="563"/>
      <c r="U191" s="563"/>
      <c r="AI191" s="563"/>
      <c r="AJ191" s="561"/>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62"/>
    </row>
    <row r="192" spans="5:64" s="560" customFormat="1">
      <c r="E192" s="568"/>
      <c r="F192" s="563"/>
      <c r="U192" s="563"/>
      <c r="AI192" s="563"/>
      <c r="AJ192" s="561"/>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62"/>
    </row>
    <row r="193" spans="5:64" s="560" customFormat="1">
      <c r="E193" s="568"/>
      <c r="F193" s="563"/>
      <c r="U193" s="563"/>
      <c r="AI193" s="563"/>
      <c r="AJ193" s="561"/>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62"/>
    </row>
    <row r="194" spans="5:64" s="560" customFormat="1">
      <c r="E194" s="568"/>
      <c r="F194" s="563"/>
      <c r="U194" s="563"/>
      <c r="AI194" s="563"/>
      <c r="AJ194" s="561"/>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62"/>
    </row>
    <row r="195" spans="5:64" s="560" customFormat="1">
      <c r="E195" s="568"/>
      <c r="F195" s="563"/>
      <c r="U195" s="563"/>
      <c r="AI195" s="563"/>
      <c r="AJ195" s="561"/>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62"/>
    </row>
    <row r="196" spans="5:64" s="560" customFormat="1">
      <c r="E196" s="568"/>
      <c r="F196" s="563"/>
      <c r="U196" s="563"/>
      <c r="AI196" s="563"/>
      <c r="AJ196" s="561"/>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62"/>
    </row>
    <row r="197" spans="5:64" s="560" customFormat="1">
      <c r="E197" s="568"/>
      <c r="F197" s="563"/>
      <c r="U197" s="563"/>
      <c r="AI197" s="563"/>
      <c r="AJ197" s="561"/>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62"/>
    </row>
    <row r="198" spans="5:64" s="560" customFormat="1">
      <c r="E198" s="568"/>
      <c r="F198" s="563"/>
      <c r="U198" s="563"/>
      <c r="AI198" s="563"/>
      <c r="AJ198" s="561"/>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62"/>
    </row>
    <row r="199" spans="5:64" s="560" customFormat="1">
      <c r="E199" s="568"/>
      <c r="F199" s="563"/>
      <c r="U199" s="563"/>
      <c r="AI199" s="563"/>
      <c r="AJ199" s="561"/>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62"/>
    </row>
    <row r="200" spans="5:64" s="560" customFormat="1">
      <c r="E200" s="568"/>
      <c r="F200" s="563"/>
      <c r="U200" s="563"/>
      <c r="AI200" s="563"/>
      <c r="AJ200" s="561"/>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62"/>
    </row>
    <row r="201" spans="5:64" s="560" customFormat="1">
      <c r="E201" s="568"/>
      <c r="F201" s="563"/>
      <c r="U201" s="563"/>
      <c r="AI201" s="563"/>
      <c r="AJ201" s="561"/>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62"/>
    </row>
    <row r="202" spans="5:64" s="560" customFormat="1">
      <c r="E202" s="568"/>
      <c r="F202" s="563"/>
      <c r="U202" s="563"/>
      <c r="AI202" s="563"/>
      <c r="AJ202" s="561"/>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62"/>
    </row>
    <row r="203" spans="5:64" s="560" customFormat="1">
      <c r="E203" s="568"/>
      <c r="F203" s="563"/>
      <c r="U203" s="563"/>
      <c r="AI203" s="563"/>
      <c r="AJ203" s="561"/>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62"/>
    </row>
    <row r="204" spans="5:64" s="560" customFormat="1">
      <c r="E204" s="568"/>
      <c r="F204" s="563"/>
      <c r="U204" s="563"/>
      <c r="AI204" s="563"/>
      <c r="AJ204" s="561"/>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62"/>
    </row>
    <row r="205" spans="5:64" s="560" customFormat="1">
      <c r="E205" s="568"/>
      <c r="F205" s="563"/>
      <c r="U205" s="563"/>
      <c r="AI205" s="563"/>
      <c r="AJ205" s="561"/>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62"/>
    </row>
    <row r="206" spans="5:64" s="560" customFormat="1">
      <c r="E206" s="568"/>
      <c r="F206" s="563"/>
      <c r="U206" s="563"/>
      <c r="AI206" s="563"/>
      <c r="AJ206" s="561"/>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62"/>
    </row>
    <row r="207" spans="5:64" s="560" customFormat="1">
      <c r="E207" s="568"/>
      <c r="F207" s="563"/>
      <c r="U207" s="563"/>
      <c r="AI207" s="563"/>
      <c r="AJ207" s="561"/>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62"/>
    </row>
    <row r="208" spans="5:64" s="560" customFormat="1">
      <c r="E208" s="568"/>
      <c r="F208" s="563"/>
      <c r="U208" s="563"/>
      <c r="AI208" s="563"/>
      <c r="AJ208" s="561"/>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62"/>
    </row>
    <row r="209" spans="5:64" s="560" customFormat="1">
      <c r="E209" s="568"/>
      <c r="F209" s="563"/>
      <c r="U209" s="563"/>
      <c r="AI209" s="563"/>
      <c r="AJ209" s="561"/>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62"/>
    </row>
    <row r="210" spans="5:64" s="560" customFormat="1">
      <c r="E210" s="568"/>
      <c r="F210" s="563"/>
      <c r="U210" s="563"/>
      <c r="AI210" s="563"/>
      <c r="AJ210" s="561"/>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62"/>
    </row>
    <row r="211" spans="5:64" s="560" customFormat="1">
      <c r="E211" s="568"/>
      <c r="F211" s="563"/>
      <c r="U211" s="563"/>
      <c r="AI211" s="563"/>
      <c r="AJ211" s="561"/>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62"/>
    </row>
    <row r="212" spans="5:64" s="560" customFormat="1">
      <c r="E212" s="568"/>
      <c r="F212" s="563"/>
      <c r="U212" s="563"/>
      <c r="AI212" s="563"/>
      <c r="AJ212" s="561"/>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62"/>
    </row>
    <row r="213" spans="5:64" s="560" customFormat="1">
      <c r="E213" s="568"/>
      <c r="F213" s="563"/>
      <c r="U213" s="563"/>
      <c r="AI213" s="563"/>
      <c r="AJ213" s="561"/>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62"/>
    </row>
    <row r="214" spans="5:64" s="560" customFormat="1">
      <c r="E214" s="568"/>
      <c r="F214" s="563"/>
      <c r="U214" s="563"/>
      <c r="AI214" s="563"/>
      <c r="AJ214" s="561"/>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62"/>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8"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7"/>
  <sheetViews>
    <sheetView showGridLines="0" zoomScaleNormal="100" zoomScaleSheetLayoutView="100" workbookViewId="0">
      <selection activeCell="B2" sqref="B2"/>
    </sheetView>
  </sheetViews>
  <sheetFormatPr defaultColWidth="9.140625" defaultRowHeight="11.25"/>
  <cols>
    <col min="1" max="1" width="2.42578125" style="184" customWidth="1"/>
    <col min="2" max="2" width="4.42578125" style="184" customWidth="1"/>
    <col min="3" max="3" width="43.5703125" style="184" customWidth="1"/>
    <col min="4" max="4" width="14.42578125" style="184" customWidth="1"/>
    <col min="5" max="8" width="13.85546875" style="184" customWidth="1"/>
    <col min="9" max="9" width="2.5703125" style="184" customWidth="1"/>
    <col min="10" max="16384" width="9.140625" style="184"/>
  </cols>
  <sheetData>
    <row r="1" spans="2:12" s="50" customFormat="1" ht="15" customHeight="1">
      <c r="B1" s="49"/>
      <c r="I1" s="183"/>
    </row>
    <row r="2" spans="2:12" ht="24" customHeight="1">
      <c r="B2" s="8"/>
      <c r="C2" s="51" t="str">
        <f>IF(Indice_index!$Z$1=1,"21 - Estimativas de execução consideradas na conta da Administração Central","21 - Estimated amounts in Central Government Account")</f>
        <v>21 - Estimativas de execução consideradas na conta da Administração Central</v>
      </c>
      <c r="D2" s="51"/>
      <c r="E2" s="51"/>
      <c r="F2" s="51"/>
      <c r="G2" s="51"/>
      <c r="H2" s="51"/>
      <c r="I2" s="51"/>
    </row>
    <row r="3" spans="2:12" s="186" customFormat="1" ht="15" customHeight="1">
      <c r="B3" s="183"/>
      <c r="C3" s="185"/>
      <c r="I3" s="183"/>
    </row>
    <row r="4" spans="2:12" s="186" customFormat="1" ht="15" customHeight="1">
      <c r="B4" s="183"/>
      <c r="C4" s="187"/>
      <c r="I4" s="183"/>
    </row>
    <row r="5" spans="2:12" s="186" customFormat="1" ht="15" customHeight="1">
      <c r="B5" s="183"/>
      <c r="C5" s="1577" t="str">
        <f>+'5 - Conta AC + SS'!C5</f>
        <v>Período: janeiro a dezembro</v>
      </c>
      <c r="D5" s="1578"/>
      <c r="G5" s="1234"/>
      <c r="H5" s="1234" t="str">
        <f>IF(Indice_index!$Z$1=1,"€ Milhões","€ Millions")</f>
        <v>€ Milhões</v>
      </c>
      <c r="I5" s="1578"/>
    </row>
    <row r="6" spans="2:12" s="186" customFormat="1" ht="79.5" customHeight="1">
      <c r="B6" s="183"/>
      <c r="C6" s="1579"/>
      <c r="D6" s="1580" t="s">
        <v>76</v>
      </c>
      <c r="E6" s="1580" t="s">
        <v>501</v>
      </c>
      <c r="G6" s="1580" t="s">
        <v>582</v>
      </c>
      <c r="H6" s="1580" t="s">
        <v>600</v>
      </c>
      <c r="I6" s="1581"/>
    </row>
    <row r="7" spans="2:12" s="186" customFormat="1" ht="15" customHeight="1">
      <c r="B7" s="183"/>
      <c r="C7" s="1582" t="str">
        <f>IF(Indice_index!$Z$1=1,"Receita corrente","Current revenue")</f>
        <v>Receita corrente</v>
      </c>
      <c r="D7" s="1583">
        <f>+D8+D9+D10+D12</f>
        <v>0</v>
      </c>
      <c r="E7" s="1583">
        <f>+E8+E9+E10+E12</f>
        <v>5.6500000000000002E-2</v>
      </c>
      <c r="G7" s="1583">
        <f>+G8+G9+G10+G12</f>
        <v>0</v>
      </c>
      <c r="H7" s="1583">
        <f>+H8+H9+H10+H12</f>
        <v>0</v>
      </c>
      <c r="I7" s="1583"/>
    </row>
    <row r="8" spans="2:12" s="186" customFormat="1" ht="15" customHeight="1">
      <c r="B8" s="183"/>
      <c r="C8" s="803" t="str">
        <f>IF(Indice_index!$Z$1=1,"Receita fiscal","Tax")</f>
        <v>Receita fiscal</v>
      </c>
      <c r="D8" s="1584">
        <v>0</v>
      </c>
      <c r="E8" s="1584">
        <v>0</v>
      </c>
      <c r="G8" s="1584">
        <v>0</v>
      </c>
      <c r="H8" s="1584">
        <v>0</v>
      </c>
      <c r="I8" s="1584"/>
      <c r="L8" s="186" t="s">
        <v>39</v>
      </c>
    </row>
    <row r="9" spans="2:12" s="186" customFormat="1" ht="15" customHeight="1">
      <c r="B9" s="183"/>
      <c r="C9" s="771" t="str">
        <f>IF(Indice_index!$Z$1=1,"Contribuições para Segurança Social, CGA e ADSE","Social security, CGA and ADSE contributions")</f>
        <v>Contribuições para Segurança Social, CGA e ADSE</v>
      </c>
      <c r="D9" s="1584">
        <v>0</v>
      </c>
      <c r="E9" s="1584">
        <v>0</v>
      </c>
      <c r="G9" s="1584">
        <v>0</v>
      </c>
      <c r="H9" s="1584">
        <v>0</v>
      </c>
      <c r="I9" s="1584"/>
    </row>
    <row r="10" spans="2:12" s="186" customFormat="1" ht="15" customHeight="1">
      <c r="B10" s="183"/>
      <c r="C10" s="771" t="str">
        <f>IF(Indice_index!$Z$1=1,"Transferências correntes","Current transfers")</f>
        <v>Transferências correntes</v>
      </c>
      <c r="D10" s="1584">
        <v>0</v>
      </c>
      <c r="E10" s="1584">
        <v>5.6500000000000002E-2</v>
      </c>
      <c r="G10" s="1584">
        <v>0</v>
      </c>
      <c r="H10" s="1584">
        <v>0</v>
      </c>
      <c r="I10" s="1584"/>
    </row>
    <row r="11" spans="2:12" s="186" customFormat="1" ht="15" customHeight="1">
      <c r="B11" s="183"/>
      <c r="C11" s="773" t="str">
        <f>IF(Indice_index!$Z$1=1,"das quais: Administração Central","of which: Central Administration")</f>
        <v>das quais: Administração Central</v>
      </c>
      <c r="D11" s="1584">
        <v>0</v>
      </c>
      <c r="E11" s="1584">
        <v>0</v>
      </c>
      <c r="G11" s="1584">
        <v>0</v>
      </c>
      <c r="H11" s="1584">
        <v>0</v>
      </c>
      <c r="I11" s="1584"/>
    </row>
    <row r="12" spans="2:12" s="186" customFormat="1" ht="15" customHeight="1">
      <c r="B12" s="183"/>
      <c r="C12" s="771" t="str">
        <f>IF(Indice_index!$Z$1=1,"Outras receitas correntes","Other current revenue")</f>
        <v>Outras receitas correntes</v>
      </c>
      <c r="D12" s="1584">
        <v>0</v>
      </c>
      <c r="E12" s="1584">
        <v>0</v>
      </c>
      <c r="G12" s="1584">
        <v>0</v>
      </c>
      <c r="H12" s="1584">
        <v>0</v>
      </c>
      <c r="I12" s="1584"/>
    </row>
    <row r="13" spans="2:12" s="186" customFormat="1" ht="15" customHeight="1">
      <c r="B13" s="183"/>
      <c r="C13" s="773" t="str">
        <f>IF(Indice_index!$Z$1=1,"das quais: Administração Central","of which: Central Administration")</f>
        <v>das quais: Administração Central</v>
      </c>
      <c r="D13" s="1584">
        <v>0</v>
      </c>
      <c r="E13" s="1584">
        <v>0</v>
      </c>
      <c r="G13" s="1584">
        <v>0</v>
      </c>
      <c r="H13" s="1584">
        <v>0</v>
      </c>
      <c r="I13" s="1584"/>
    </row>
    <row r="14" spans="2:12" s="186" customFormat="1" ht="15" customHeight="1">
      <c r="B14" s="183"/>
      <c r="C14" s="773" t="str">
        <f>IF(Indice_index!$Z$1=1,"das quais: das quais: Vendas de bens e serviços / Saúde","of which: Sales of goods and services / Health sector")</f>
        <v>das quais: das quais: Vendas de bens e serviços / Saúde</v>
      </c>
      <c r="D14" s="1584">
        <v>0</v>
      </c>
      <c r="E14" s="1584">
        <v>0</v>
      </c>
      <c r="G14" s="1584">
        <v>0</v>
      </c>
      <c r="H14" s="1584">
        <v>0</v>
      </c>
      <c r="I14" s="1584"/>
    </row>
    <row r="15" spans="2:12" s="186" customFormat="1" ht="15" customHeight="1">
      <c r="B15" s="183"/>
      <c r="C15" s="1582" t="str">
        <f>IF(Indice_index!$Z$1=1,"Receita de capital","Capital revenue")</f>
        <v>Receita de capital</v>
      </c>
      <c r="D15" s="1583">
        <f>+D16+D17+D19</f>
        <v>0</v>
      </c>
      <c r="E15" s="1583">
        <f>+E16+E17+E19</f>
        <v>0</v>
      </c>
      <c r="G15" s="1583">
        <f>+G16+G17+G19</f>
        <v>0</v>
      </c>
      <c r="H15" s="1583">
        <f>+H16+H17+H19</f>
        <v>0</v>
      </c>
      <c r="I15" s="1583"/>
    </row>
    <row r="16" spans="2:12" s="186" customFormat="1" ht="15" customHeight="1">
      <c r="B16" s="183"/>
      <c r="C16" s="771" t="str">
        <f>IF(Indice_index!$Z$1=1,"Venda de bens de investimento","Sale of investment goods")</f>
        <v>Venda de bens de investimento</v>
      </c>
      <c r="D16" s="1584">
        <v>0</v>
      </c>
      <c r="E16" s="1584">
        <v>0</v>
      </c>
      <c r="G16" s="1584">
        <v>0</v>
      </c>
      <c r="H16" s="1584">
        <v>0</v>
      </c>
      <c r="I16" s="1584"/>
    </row>
    <row r="17" spans="2:9" s="186" customFormat="1" ht="15" customHeight="1">
      <c r="B17" s="183"/>
      <c r="C17" s="771" t="str">
        <f>IF(Indice_index!$Z$1=1,"Transferências de capital","Capital transfers")</f>
        <v>Transferências de capital</v>
      </c>
      <c r="D17" s="1584">
        <v>0</v>
      </c>
      <c r="E17" s="1584">
        <v>0</v>
      </c>
      <c r="G17" s="1584">
        <v>0</v>
      </c>
      <c r="H17" s="1584">
        <v>0</v>
      </c>
      <c r="I17" s="1584"/>
    </row>
    <row r="18" spans="2:9" s="186" customFormat="1" ht="15" customHeight="1">
      <c r="B18" s="183"/>
      <c r="C18" s="773" t="str">
        <f>IF(Indice_index!$Z$1=1,"das quais: Administração Central","of which: Central Administration")</f>
        <v>das quais: Administração Central</v>
      </c>
      <c r="D18" s="1584">
        <v>0</v>
      </c>
      <c r="E18" s="1584">
        <v>0</v>
      </c>
      <c r="G18" s="1584">
        <v>0</v>
      </c>
      <c r="H18" s="1584">
        <v>0</v>
      </c>
      <c r="I18" s="1584"/>
    </row>
    <row r="19" spans="2:9" s="186" customFormat="1" ht="15" customHeight="1">
      <c r="B19" s="183"/>
      <c r="C19" s="771" t="str">
        <f>IF(Indice_index!$Z$1=1,"Outras receitas de capital","Other capital revenue")</f>
        <v>Outras receitas de capital</v>
      </c>
      <c r="D19" s="1584">
        <v>0</v>
      </c>
      <c r="E19" s="1584">
        <v>0</v>
      </c>
      <c r="G19" s="1584">
        <v>0</v>
      </c>
      <c r="H19" s="1584">
        <v>0</v>
      </c>
      <c r="I19" s="1584"/>
    </row>
    <row r="20" spans="2:9" s="186" customFormat="1" ht="15" customHeight="1">
      <c r="B20" s="183"/>
      <c r="C20" s="1582" t="str">
        <f>IF(Indice_index!$Z$1=1,"Receita efetiva","Effective revenue")</f>
        <v>Receita efetiva</v>
      </c>
      <c r="D20" s="1583">
        <f>+D7+D15</f>
        <v>0</v>
      </c>
      <c r="E20" s="1583">
        <f>+E7+E15</f>
        <v>5.6500000000000002E-2</v>
      </c>
      <c r="G20" s="1583">
        <f>+G7+G15</f>
        <v>0</v>
      </c>
      <c r="H20" s="1583">
        <f>+H7+H15</f>
        <v>0</v>
      </c>
      <c r="I20" s="1583"/>
    </row>
    <row r="21" spans="2:9" s="186" customFormat="1" ht="4.5" customHeight="1">
      <c r="B21" s="183"/>
      <c r="C21" s="1582"/>
      <c r="D21" s="1583"/>
      <c r="E21" s="1583"/>
      <c r="G21" s="1583"/>
      <c r="H21" s="1583"/>
      <c r="I21" s="1583"/>
    </row>
    <row r="22" spans="2:9" s="186" customFormat="1" ht="15" customHeight="1">
      <c r="B22" s="183"/>
      <c r="C22" s="1582" t="str">
        <f>IF(Indice_index!$Z$1=1,"Despesa corrente","Current expenditure")</f>
        <v>Despesa corrente</v>
      </c>
      <c r="D22" s="1583">
        <f>+D23+D24+D26+D28+D30+D32</f>
        <v>0.35064263999999962</v>
      </c>
      <c r="E22" s="1583">
        <f>+E23+E24+E26+E28+E30+E32</f>
        <v>5.6799999999999996E-2</v>
      </c>
      <c r="G22" s="1583">
        <f>+G23+G24+G26+G28+G30+G32</f>
        <v>78.011597279999975</v>
      </c>
      <c r="H22" s="1583">
        <f>+H23+H24+H26+H28+H30+H32</f>
        <v>0.70051426999999999</v>
      </c>
      <c r="I22" s="1583"/>
    </row>
    <row r="23" spans="2:9" s="186" customFormat="1" ht="15" customHeight="1">
      <c r="B23" s="183"/>
      <c r="C23" s="771" t="str">
        <f>IF(Indice_index!$Z$1=1,"Despesas com o pessoal","Employees")</f>
        <v>Despesas com o pessoal</v>
      </c>
      <c r="D23" s="1584">
        <v>4.9969999999999997E-3</v>
      </c>
      <c r="E23" s="1584">
        <v>0</v>
      </c>
      <c r="G23" s="1584">
        <v>20.39117855999999</v>
      </c>
      <c r="H23" s="1584">
        <v>4.7532999999999994E-4</v>
      </c>
      <c r="I23" s="1584"/>
    </row>
    <row r="24" spans="2:9" s="186" customFormat="1" ht="15" customHeight="1">
      <c r="B24" s="183"/>
      <c r="C24" s="771" t="str">
        <f>IF(Indice_index!$Z$1=1,"Aquisição de bens e serviços","Purchase of goods and services")</f>
        <v>Aquisição de bens e serviços</v>
      </c>
      <c r="D24" s="1584">
        <v>0.34564563999999964</v>
      </c>
      <c r="E24" s="1584">
        <v>1.7100000000000001E-2</v>
      </c>
      <c r="G24" s="1584">
        <v>57.56160036</v>
      </c>
      <c r="H24" s="1584">
        <v>0.69927139000000005</v>
      </c>
      <c r="I24" s="1584"/>
    </row>
    <row r="25" spans="2:9" s="186" customFormat="1" ht="15" customHeight="1">
      <c r="B25" s="183"/>
      <c r="C25" s="773" t="str">
        <f>IF(Indice_index!$Z$1=1,"das quais: das quais: Aquisição de bens e serviços / Saúde","of which: Purchase of goods and services / Health sector")</f>
        <v>das quais: das quais: Aquisição de bens e serviços / Saúde</v>
      </c>
      <c r="D25" s="1585">
        <v>0</v>
      </c>
      <c r="E25" s="1585">
        <v>0</v>
      </c>
      <c r="G25" s="1585">
        <v>0</v>
      </c>
      <c r="H25" s="1585">
        <v>0</v>
      </c>
      <c r="I25" s="1585"/>
    </row>
    <row r="26" spans="2:9" s="186" customFormat="1" ht="15" customHeight="1">
      <c r="B26" s="183"/>
      <c r="C26" s="771" t="str">
        <f>IF(Indice_index!$Z$1=1,"Juros e outros encargos","Interests and other charges")</f>
        <v>Juros e outros encargos</v>
      </c>
      <c r="D26" s="1584">
        <v>0</v>
      </c>
      <c r="E26" s="1584">
        <v>0</v>
      </c>
      <c r="G26" s="1584">
        <v>0</v>
      </c>
      <c r="H26" s="1584">
        <v>0</v>
      </c>
      <c r="I26" s="1584"/>
    </row>
    <row r="27" spans="2:9" s="186" customFormat="1" ht="15" customHeight="1">
      <c r="B27" s="183"/>
      <c r="C27" s="773" t="str">
        <f>IF(Indice_index!$Z$1=1,"dos quais: Administração Central","of which: Central Administration")</f>
        <v>dos quais: Administração Central</v>
      </c>
      <c r="D27" s="1584">
        <v>0</v>
      </c>
      <c r="E27" s="1584">
        <v>0</v>
      </c>
      <c r="G27" s="1584">
        <v>0</v>
      </c>
      <c r="H27" s="1584">
        <v>0</v>
      </c>
      <c r="I27" s="1584"/>
    </row>
    <row r="28" spans="2:9" s="186" customFormat="1" ht="15" customHeight="1">
      <c r="B28" s="183"/>
      <c r="C28" s="771" t="str">
        <f>IF(Indice_index!$Z$1=1,"Transferências correntes","Current transfers")</f>
        <v>Transferências correntes</v>
      </c>
      <c r="D28" s="1584">
        <v>0</v>
      </c>
      <c r="E28" s="1584">
        <v>3.9399999999999998E-2</v>
      </c>
      <c r="G28" s="1584">
        <v>1.7195000000000003E-3</v>
      </c>
      <c r="H28" s="1584">
        <v>0</v>
      </c>
      <c r="I28" s="1584"/>
    </row>
    <row r="29" spans="2:9" s="186" customFormat="1" ht="15" customHeight="1">
      <c r="B29" s="183"/>
      <c r="C29" s="773" t="str">
        <f>IF(Indice_index!$Z$1=1,"das quais: Administração Central","of which: Central Administration")</f>
        <v>das quais: Administração Central</v>
      </c>
      <c r="D29" s="1585">
        <v>0</v>
      </c>
      <c r="E29" s="1585">
        <v>0</v>
      </c>
      <c r="G29" s="1585">
        <v>0</v>
      </c>
      <c r="H29" s="1585">
        <v>0</v>
      </c>
      <c r="I29" s="1585"/>
    </row>
    <row r="30" spans="2:9" s="186" customFormat="1" ht="15" customHeight="1">
      <c r="B30" s="183"/>
      <c r="C30" s="771" t="str">
        <f>IF(Indice_index!$Z$1=1,"Subsídios","Subsidies")</f>
        <v>Subsídios</v>
      </c>
      <c r="D30" s="1584">
        <v>0</v>
      </c>
      <c r="E30" s="1584">
        <v>0</v>
      </c>
      <c r="G30" s="1584">
        <v>0</v>
      </c>
      <c r="H30" s="1584">
        <v>0</v>
      </c>
      <c r="I30" s="1584"/>
    </row>
    <row r="31" spans="2:9" s="186" customFormat="1" ht="15" customHeight="1">
      <c r="B31" s="183"/>
      <c r="C31" s="773" t="str">
        <f>IF(Indice_index!$Z$1=1,"dos quais: Administração Central","of which: Central Administration")</f>
        <v>dos quais: Administração Central</v>
      </c>
      <c r="D31" s="1585">
        <v>0</v>
      </c>
      <c r="E31" s="1585">
        <v>0</v>
      </c>
      <c r="G31" s="1585">
        <v>0</v>
      </c>
      <c r="H31" s="1585">
        <v>0</v>
      </c>
      <c r="I31" s="1585"/>
    </row>
    <row r="32" spans="2:9" s="186" customFormat="1" ht="15" customHeight="1">
      <c r="B32" s="183"/>
      <c r="C32" s="771" t="str">
        <f>IF(Indice_index!$Z$1=1,"Outras despesas correntes","Other current expenditure")</f>
        <v>Outras despesas correntes</v>
      </c>
      <c r="D32" s="1584">
        <v>0</v>
      </c>
      <c r="E32" s="1584">
        <v>2.9999999999999997E-4</v>
      </c>
      <c r="G32" s="1584">
        <v>5.7098859999999987E-2</v>
      </c>
      <c r="H32" s="1584">
        <v>7.6754999999999998E-4</v>
      </c>
      <c r="I32" s="1584"/>
    </row>
    <row r="33" spans="2:17" s="186" customFormat="1" ht="15" customHeight="1">
      <c r="B33" s="183"/>
      <c r="C33" s="1582" t="str">
        <f>IF(Indice_index!$Z$1=1,"Despesa de capital","Capital expenditure")</f>
        <v>Despesa de capital</v>
      </c>
      <c r="D33" s="1586">
        <f>+D34+D35+D37</f>
        <v>0</v>
      </c>
      <c r="E33" s="1586">
        <f>+E34+E35+E37</f>
        <v>0</v>
      </c>
      <c r="G33" s="1586">
        <f>+G34+G35+G37</f>
        <v>67.037035749999987</v>
      </c>
      <c r="H33" s="1586">
        <f>+H34+H35+H37</f>
        <v>1.7200333899999998</v>
      </c>
      <c r="I33" s="1586"/>
    </row>
    <row r="34" spans="2:17" s="186" customFormat="1" ht="15" customHeight="1">
      <c r="B34" s="183"/>
      <c r="C34" s="771" t="str">
        <f>IF(Indice_index!$Z$1=1,"Investimento","Investment")</f>
        <v>Investimento</v>
      </c>
      <c r="D34" s="1584">
        <v>0</v>
      </c>
      <c r="E34" s="1584">
        <v>0</v>
      </c>
      <c r="G34" s="1584">
        <v>64.969642769999993</v>
      </c>
      <c r="H34" s="1584">
        <v>1.7200333899999998</v>
      </c>
      <c r="I34" s="1584"/>
    </row>
    <row r="35" spans="2:17" s="186" customFormat="1" ht="15" customHeight="1">
      <c r="B35" s="183"/>
      <c r="C35" s="771" t="str">
        <f>IF(Indice_index!$Z$1=1,"Transferências de capital","Capital transfers")</f>
        <v>Transferências de capital</v>
      </c>
      <c r="D35" s="1584">
        <v>0</v>
      </c>
      <c r="E35" s="1584">
        <v>0</v>
      </c>
      <c r="G35" s="1584">
        <v>2.0673929800000002</v>
      </c>
      <c r="H35" s="1584">
        <v>0</v>
      </c>
      <c r="I35" s="1584"/>
    </row>
    <row r="36" spans="2:17" s="186" customFormat="1" ht="15" customHeight="1">
      <c r="B36" s="183"/>
      <c r="C36" s="773" t="str">
        <f>IF(Indice_index!$Z$1=1,"das quais: Administração Central","of which: Central Administration")</f>
        <v>das quais: Administração Central</v>
      </c>
      <c r="D36" s="1585">
        <v>0</v>
      </c>
      <c r="E36" s="1585">
        <v>0</v>
      </c>
      <c r="G36" s="1585">
        <v>0</v>
      </c>
      <c r="H36" s="1585">
        <v>0</v>
      </c>
      <c r="I36" s="1585"/>
    </row>
    <row r="37" spans="2:17" s="186" customFormat="1" ht="15" customHeight="1">
      <c r="B37" s="183"/>
      <c r="C37" s="771" t="str">
        <f>IF(Indice_index!$Z$1=1,"Outras despesas de capital","Other capital expenditure")</f>
        <v>Outras despesas de capital</v>
      </c>
      <c r="D37" s="1584">
        <v>0</v>
      </c>
      <c r="E37" s="1584">
        <v>0</v>
      </c>
      <c r="G37" s="1584">
        <v>0</v>
      </c>
      <c r="H37" s="1584">
        <v>0</v>
      </c>
      <c r="I37" s="1584"/>
    </row>
    <row r="38" spans="2:17" s="186" customFormat="1" ht="15" customHeight="1">
      <c r="B38" s="183"/>
      <c r="C38" s="1582" t="str">
        <f>IF(Indice_index!$Z$1=1,"Despesa efetiva","Effective expenditure")</f>
        <v>Despesa efetiva</v>
      </c>
      <c r="D38" s="1586">
        <f>+D22+D33</f>
        <v>0.35064263999999962</v>
      </c>
      <c r="E38" s="1586">
        <f t="shared" ref="E38" si="0">+E22+E33</f>
        <v>5.6799999999999996E-2</v>
      </c>
      <c r="G38" s="1586">
        <f>+G22+G33</f>
        <v>145.04863302999996</v>
      </c>
      <c r="H38" s="1586">
        <f>+H22+H33</f>
        <v>2.4205476599999995</v>
      </c>
      <c r="I38" s="1586"/>
    </row>
    <row r="39" spans="2:17" s="186" customFormat="1" ht="4.5" customHeight="1">
      <c r="B39" s="183"/>
      <c r="C39" s="1587"/>
      <c r="D39" s="1586"/>
      <c r="E39" s="1586"/>
      <c r="G39" s="1586"/>
      <c r="H39" s="1586"/>
      <c r="I39" s="1586"/>
    </row>
    <row r="40" spans="2:17" s="186" customFormat="1" ht="15" customHeight="1">
      <c r="B40" s="183"/>
      <c r="C40" s="1588" t="str">
        <f>IF(Indice_index!$Z$1=1,"Saldo global","Overall balance")</f>
        <v>Saldo global</v>
      </c>
      <c r="D40" s="1589">
        <f>+D20-D38</f>
        <v>-0.35064263999999962</v>
      </c>
      <c r="E40" s="1589">
        <f>+E20-E38</f>
        <v>-2.9999999999999472E-4</v>
      </c>
      <c r="G40" s="1589">
        <f>+G20-G38</f>
        <v>-145.04863302999996</v>
      </c>
      <c r="H40" s="1589">
        <f>+H20-H38</f>
        <v>-2.4205476599999995</v>
      </c>
      <c r="I40" s="1590"/>
    </row>
    <row r="41" spans="2:17" s="96" customFormat="1" ht="4.5" customHeight="1">
      <c r="D41" s="1591"/>
      <c r="E41" s="1591"/>
      <c r="G41" s="1591"/>
      <c r="H41" s="1591"/>
      <c r="I41" s="1591"/>
      <c r="O41" s="50"/>
      <c r="P41" s="50"/>
      <c r="Q41" s="50"/>
    </row>
    <row r="42" spans="2:17" s="186" customFormat="1" ht="67.5" customHeight="1">
      <c r="C42" s="1588" t="str">
        <f>IF(Indice_index!$Z$1=1,"Períodos com ausência de reporte","Months without report")</f>
        <v>Períodos com ausência de reporte</v>
      </c>
      <c r="D42" s="1592" t="str">
        <f>IF(Indice_index!$Z$1=1,"dezembro","December")</f>
        <v>dezembro</v>
      </c>
      <c r="E42" s="1592" t="str">
        <f>IF(Indice_index!$Z$1=1,"dezembro; novembro; outubro; setembro; agosto; julho; junho; maio; abril; março","December; November; October;September; August; July; June; May; April; March")</f>
        <v>dezembro; novembro; outubro; setembro; agosto; julho; junho; maio; abril; março</v>
      </c>
      <c r="G42" s="1592" t="str">
        <f>IF(Indice_index!$Z$1=1,"dezembro","December")</f>
        <v>dezembro</v>
      </c>
      <c r="H42" s="1592" t="str">
        <f>IF(Indice_index!$Z$1=1,"dezembro","December")</f>
        <v>dezembro</v>
      </c>
      <c r="I42" s="1593"/>
    </row>
    <row r="43" spans="2:17" s="186" customFormat="1" ht="3" customHeight="1">
      <c r="C43" s="1577"/>
    </row>
    <row r="44" spans="2:17" s="186" customFormat="1" ht="4.5" customHeight="1">
      <c r="C44" s="1577"/>
    </row>
    <row r="45" spans="2:17" s="53" customFormat="1" ht="15" customHeight="1">
      <c r="C45" s="791" t="str">
        <f>IF(Indice_index!$Z$1=1,"Notas:","Notes:")</f>
        <v>Notas:</v>
      </c>
      <c r="D45" s="58"/>
      <c r="E45" s="1594"/>
      <c r="F45" s="1594"/>
      <c r="G45" s="1594"/>
      <c r="H45" s="1594"/>
      <c r="I45" s="1594"/>
      <c r="N45" s="50"/>
      <c r="O45" s="50"/>
      <c r="P45" s="50"/>
    </row>
    <row r="46" spans="2:17" s="186" customFormat="1" ht="39" customHeight="1">
      <c r="C46" s="1807" t="str">
        <f>IF(Indice_index!$Z$1=1,C95,C96)</f>
        <v>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v>
      </c>
      <c r="D46" s="1807"/>
      <c r="E46" s="1807"/>
      <c r="F46" s="1807"/>
      <c r="G46" s="1807"/>
      <c r="H46" s="1807"/>
      <c r="I46" s="1807"/>
    </row>
    <row r="47" spans="2:17" s="186" customFormat="1" ht="25.5" customHeight="1">
      <c r="C47" s="1807" t="str">
        <f>+'10 - EPR'!C86:J86</f>
        <v>Esta estimativa apenas é utilizada para os meses em que haja falta de reporte. Nos restantes meses, é utilizada a informação efetivamente reportada pelas entidades.</v>
      </c>
      <c r="D47" s="1807"/>
      <c r="E47" s="1807"/>
      <c r="F47" s="1807"/>
      <c r="G47" s="1807"/>
      <c r="H47" s="1807"/>
      <c r="I47" s="1807"/>
    </row>
    <row r="48" spans="2:17" s="186" customFormat="1" ht="23.25" customHeight="1">
      <c r="C48" s="1807" t="str">
        <f>IF(Indice_index!$Z$1=1,"a) Dados disponibilizados pela entidade em causa de modo a suprir faltas de informação respeitantes à execução orçamental de dezembro de 2022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Dados disponibilizados pela entidade em causa de modo a suprir faltas de informação respeitantes à execução orçamental de dezembro de 2022 devido a motivos de ordem técnica na transposição dos sistemas orçamentais locais para os centrais.</v>
      </c>
      <c r="D48" s="1807"/>
      <c r="E48" s="1807"/>
      <c r="F48" s="1807"/>
      <c r="G48" s="1807"/>
      <c r="H48" s="1807"/>
    </row>
    <row r="49" spans="3:9" s="186" customFormat="1" ht="4.5" customHeight="1">
      <c r="C49" s="1807"/>
      <c r="D49" s="1807"/>
      <c r="E49" s="1807"/>
      <c r="F49" s="1807"/>
      <c r="G49" s="1807"/>
      <c r="H49" s="1595"/>
      <c r="I49" s="1595"/>
    </row>
    <row r="50" spans="3:9" s="186" customFormat="1" ht="15" customHeight="1">
      <c r="C50" s="1558" t="str">
        <f>IF(Indice_index!$Z$1=1,"Fonte: Direção-Geral do Orçamento","Source: Budget General Directorate")</f>
        <v>Fonte: Direção-Geral do Orçamento</v>
      </c>
      <c r="D50" s="1558"/>
      <c r="E50" s="1558"/>
      <c r="F50" s="1558"/>
      <c r="G50" s="1558"/>
      <c r="H50" s="1558"/>
      <c r="I50" s="1558"/>
    </row>
    <row r="51" spans="3:9" s="186" customFormat="1"/>
    <row r="52" spans="3:9" s="186" customFormat="1"/>
    <row r="53" spans="3:9" s="487" customFormat="1"/>
    <row r="54" spans="3:9" s="422" customFormat="1">
      <c r="C54" s="461"/>
    </row>
    <row r="55" spans="3:9" s="422" customFormat="1">
      <c r="C55" s="461"/>
    </row>
    <row r="56" spans="3:9" s="487" customFormat="1">
      <c r="C56" s="461"/>
    </row>
    <row r="57" spans="3:9" s="186" customFormat="1">
      <c r="C57" s="422"/>
    </row>
    <row r="58" spans="3:9" s="186" customFormat="1"/>
    <row r="59" spans="3:9" s="186" customFormat="1"/>
    <row r="60" spans="3:9" s="186" customFormat="1"/>
    <row r="61" spans="3:9" s="186" customFormat="1"/>
    <row r="62" spans="3:9" s="186" customFormat="1"/>
    <row r="63" spans="3:9" s="186" customFormat="1"/>
    <row r="64" spans="3:9" s="186" customFormat="1"/>
    <row r="65" s="186" customFormat="1"/>
    <row r="66" s="186" customFormat="1"/>
    <row r="67" s="186" customFormat="1"/>
    <row r="68" s="186" customFormat="1"/>
    <row r="69" s="422" customFormat="1"/>
    <row r="70" s="422" customFormat="1"/>
    <row r="71" s="186" customFormat="1"/>
    <row r="72" s="186" customFormat="1" ht="12" customHeight="1"/>
    <row r="73" s="186" customFormat="1"/>
    <row r="74" s="186" customFormat="1"/>
    <row r="75" s="186" customFormat="1"/>
    <row r="76" s="186" customFormat="1"/>
    <row r="77" s="186" customFormat="1"/>
    <row r="78" s="186" customFormat="1"/>
    <row r="79" s="186" customFormat="1"/>
    <row r="80"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c r="C95" s="422" t="s">
        <v>77</v>
      </c>
    </row>
    <row r="96" spans="3:3" s="186" customFormat="1">
      <c r="C96" s="422" t="s">
        <v>78</v>
      </c>
    </row>
    <row r="97" s="186" customFormat="1"/>
    <row r="98" s="186" customFormat="1"/>
    <row r="99" s="186" customFormat="1"/>
    <row r="100" s="186" customFormat="1"/>
    <row r="101" s="186" customFormat="1"/>
    <row r="102" s="186" customFormat="1"/>
    <row r="103" s="186" customFormat="1"/>
    <row r="104" s="186" customFormat="1"/>
    <row r="105" s="186" customFormat="1"/>
    <row r="106" s="186" customFormat="1"/>
    <row r="107" s="186" customFormat="1"/>
    <row r="108" s="186" customFormat="1"/>
    <row r="109" s="186" customFormat="1"/>
    <row r="110" s="186" customFormat="1"/>
    <row r="111" s="186" customFormat="1"/>
    <row r="112"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sheetData>
  <mergeCells count="4">
    <mergeCell ref="C49:G49"/>
    <mergeCell ref="C46:I46"/>
    <mergeCell ref="C47:I47"/>
    <mergeCell ref="C48:H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40625" defaultRowHeight="15"/>
  <cols>
    <col min="1" max="1" width="2.42578125" style="184" customWidth="1"/>
    <col min="2" max="2" width="3.5703125" style="184" customWidth="1"/>
    <col min="3" max="3" width="9.85546875" style="184" customWidth="1"/>
    <col min="4" max="4" width="33.140625" style="184" customWidth="1"/>
    <col min="5" max="5" width="70.140625" style="184" bestFit="1" customWidth="1"/>
    <col min="6" max="6" width="12.5703125" style="184" customWidth="1"/>
    <col min="7" max="7" width="11.5703125" style="184" customWidth="1"/>
    <col min="8" max="8" width="13.42578125" bestFit="1" customWidth="1"/>
    <col min="9" max="9" width="10.42578125" bestFit="1" customWidth="1"/>
    <col min="11" max="16384" width="9.14062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Utilização condicionada das dotações orçamentais do OE 2022</v>
      </c>
      <c r="D2" s="51"/>
      <c r="E2" s="51"/>
      <c r="F2" s="51"/>
      <c r="K2"/>
    </row>
    <row r="3" spans="2:12" s="186" customFormat="1" ht="30" customHeight="1">
      <c r="B3" s="183"/>
      <c r="C3" s="185"/>
      <c r="D3" s="185"/>
      <c r="H3"/>
      <c r="I3"/>
      <c r="J3"/>
      <c r="K3"/>
    </row>
    <row r="4" spans="2:12" s="186" customFormat="1" ht="15" customHeight="1">
      <c r="B4" s="183"/>
      <c r="C4" s="704" t="str">
        <f>IF(Indice_index!$Z$1=1,"Período: novembro","Period: November")</f>
        <v>Período: novembro</v>
      </c>
      <c r="D4" s="705"/>
      <c r="E4" s="706"/>
      <c r="F4" s="707"/>
      <c r="G4" s="707" t="str">
        <f>IF(Indice_index!$Z$1=1,"€ Milhões","€ Millions")</f>
        <v>€ Milhões</v>
      </c>
      <c r="H4"/>
      <c r="I4"/>
      <c r="J4"/>
      <c r="K4"/>
    </row>
    <row r="5" spans="2:12" s="186" customFormat="1">
      <c r="C5" s="1808" t="str">
        <f>IF(Indice_index!$Z$1=1,"Ministério","Ministry")</f>
        <v>Ministério</v>
      </c>
      <c r="D5" s="1808" t="str">
        <f>IF(Indice_index!$Z$1=1,"Programa Orçamental","Budgetary program")</f>
        <v>Programa Orçamental</v>
      </c>
      <c r="E5" s="1808" t="str">
        <f>IF(Indice_index!$Z$1=1,"Medida","Measure")</f>
        <v>Medida</v>
      </c>
      <c r="F5" s="1813">
        <v>2022</v>
      </c>
      <c r="G5" s="1813"/>
      <c r="H5"/>
      <c r="I5"/>
      <c r="J5"/>
      <c r="K5"/>
    </row>
    <row r="6" spans="2:12" s="186" customFormat="1" ht="30" customHeight="1">
      <c r="C6" s="1809"/>
      <c r="D6" s="1809"/>
      <c r="E6" s="1809"/>
      <c r="F6" s="708" t="str">
        <f>IF(Indice_index!$Z$1=1,"Cativos iniciais","Initial frozen allocations")</f>
        <v>Cativos iniciais</v>
      </c>
      <c r="G6" s="709" t="str">
        <f>IF(Indice_index!$Z$1=1,"Cativos atuais","Current frozen allocations")</f>
        <v>Cativos atuais</v>
      </c>
      <c r="H6"/>
      <c r="I6"/>
      <c r="J6"/>
      <c r="K6"/>
    </row>
    <row r="7" spans="2:12" s="186" customFormat="1">
      <c r="C7" s="1810"/>
      <c r="D7" s="1810"/>
      <c r="E7" s="1810"/>
      <c r="F7" s="710" t="s">
        <v>65</v>
      </c>
      <c r="G7" s="711" t="s">
        <v>64</v>
      </c>
      <c r="H7"/>
      <c r="I7"/>
      <c r="J7"/>
      <c r="K7"/>
    </row>
    <row r="8" spans="2:12" s="186" customFormat="1" ht="15" customHeight="1">
      <c r="C8" s="712" t="str">
        <f>IF(Indice_index!$Z$1=1,"EGE","GCS")</f>
        <v>EGE</v>
      </c>
      <c r="D8" s="712" t="str">
        <f>IF(Indice_index!$Z$1=1,"P001 - Órgãos de Soberania","P001 - Sovereignty Entities")</f>
        <v>P001 - Órgãos de Soberania</v>
      </c>
      <c r="E8" s="713" t="str">
        <f>IF(Indice_index!$Z$1=1,"001 - Serv. Gerais da A.P. - Administração geral","001 - General public services - General Administration")</f>
        <v>001 - Serv. Gerais da A.P. - Administração geral</v>
      </c>
      <c r="F8" s="714">
        <v>9.0237379999999998</v>
      </c>
      <c r="G8" s="714">
        <v>0.36339900000000003</v>
      </c>
      <c r="H8"/>
      <c r="I8"/>
      <c r="J8"/>
      <c r="K8" s="437"/>
      <c r="L8" s="437"/>
    </row>
    <row r="9" spans="2:12" s="186" customFormat="1" ht="15" customHeight="1">
      <c r="C9" s="712"/>
      <c r="D9" s="712"/>
      <c r="E9" s="713" t="str">
        <f>IF(Indice_index!$Z$1=1,"012 - Segurança e ordem públicas - Sistema judiciário","012 - Public safety and order - Judicial system")</f>
        <v>012 - Segurança e ordem públicas - Sistema judiciário</v>
      </c>
      <c r="F9" s="715">
        <v>2.5152519999999998</v>
      </c>
      <c r="G9" s="715">
        <v>0.77619499999999997</v>
      </c>
      <c r="H9"/>
      <c r="I9"/>
      <c r="J9"/>
      <c r="K9" s="437"/>
      <c r="L9" s="437"/>
    </row>
    <row r="10" spans="2:12" s="186" customFormat="1" ht="15" customHeight="1">
      <c r="C10" s="712"/>
      <c r="D10" s="716"/>
      <c r="E10" s="713" t="str">
        <f>IF(Indice_index!$Z$1=1,"038 - Serviços culturais, recreativos e religiosos - Comunicação social","038 - Cultural, recreational and religious services - Media")</f>
        <v>038 - Serviços culturais, recreativos e religiosos - Comunicação social</v>
      </c>
      <c r="F10" s="715">
        <v>0.31443700000000002</v>
      </c>
      <c r="G10" s="715">
        <v>0</v>
      </c>
      <c r="H10"/>
      <c r="I10"/>
      <c r="J10"/>
      <c r="K10" s="437"/>
      <c r="L10" s="437"/>
    </row>
    <row r="11" spans="2:12" s="186" customFormat="1" ht="15" customHeight="1">
      <c r="C11" s="716"/>
      <c r="D11" s="717"/>
      <c r="E11" s="718" t="str">
        <f>D8</f>
        <v>P001 - Órgãos de Soberania</v>
      </c>
      <c r="F11" s="719">
        <f>SUM(F8:F10)</f>
        <v>11.853427</v>
      </c>
      <c r="G11" s="719">
        <f>SUM(G8:G10)</f>
        <v>1.139594</v>
      </c>
      <c r="H11"/>
      <c r="I11"/>
      <c r="J11"/>
      <c r="K11" s="437"/>
      <c r="L11" s="437"/>
    </row>
    <row r="12" spans="2:12" s="186" customFormat="1" ht="15" customHeight="1">
      <c r="C12" s="712" t="str">
        <f>IF(Indice_index!$Z$1=1,"PCM","PRP")</f>
        <v>PCM</v>
      </c>
      <c r="D12" s="712" t="str">
        <f>IF(Indice_index!$Z$1=1,"P002 - Governação","P002 - Government")</f>
        <v>P002 - Governação</v>
      </c>
      <c r="E12" s="713" t="str">
        <f>IF(Indice_index!$Z$1=1,"001 - Serv. Gerais da A.P. - Administração geral","001 - General public services - General Administration")</f>
        <v>001 - Serv. Gerais da A.P. - Administração geral</v>
      </c>
      <c r="F12" s="714">
        <v>10.137259</v>
      </c>
      <c r="G12" s="714">
        <v>8.9060570000000006</v>
      </c>
      <c r="H12"/>
      <c r="I12"/>
      <c r="J12"/>
      <c r="K12" s="437"/>
      <c r="L12" s="437"/>
    </row>
    <row r="13" spans="2:12" s="186" customFormat="1" ht="15" customHeight="1">
      <c r="C13" s="712"/>
      <c r="D13" s="712"/>
      <c r="E13" s="713" t="str">
        <f>IF(Indice_index!$Z$1=1,"011 - Segurança e ordem públicas - Forças de segurança","011 - Public safety and order - Security forces")</f>
        <v>011 - Segurança e ordem públicas - Forças de segurança</v>
      </c>
      <c r="F13" s="715">
        <v>1.2654069999999999</v>
      </c>
      <c r="G13" s="715">
        <v>0</v>
      </c>
      <c r="H13"/>
      <c r="I13"/>
      <c r="J13"/>
      <c r="K13" s="437"/>
      <c r="L13" s="437"/>
    </row>
    <row r="14" spans="2:12" s="186" customFormat="1" ht="15" customHeight="1">
      <c r="C14" s="712"/>
      <c r="D14" s="712"/>
      <c r="E14" s="713" t="str">
        <f>IF(Indice_index!$Z$1=1,"015 - Educação - Administração e regulamentação","015 - Education - Administration and regulations")</f>
        <v>015 - Educação - Administração e regulamentação</v>
      </c>
      <c r="F14" s="715">
        <v>3.8328000000000001E-2</v>
      </c>
      <c r="G14" s="715">
        <v>3.8328000000000001E-2</v>
      </c>
      <c r="H14"/>
      <c r="I14"/>
      <c r="J14"/>
      <c r="K14" s="437"/>
      <c r="L14" s="437"/>
    </row>
    <row r="15" spans="2:12" s="186" customFormat="1" ht="15" customHeight="1">
      <c r="C15" s="712"/>
      <c r="D15" s="712"/>
      <c r="E15" s="713" t="str">
        <f>IF(Indice_index!$Z$1=1,"024 - Segurança e acção social - Administração e regulamentação","024 - Social Security and Action - Administration and regulations")</f>
        <v>024 - Segurança e acção social - Administração e regulamentação</v>
      </c>
      <c r="F15" s="715">
        <v>2.5396999999999999E-2</v>
      </c>
      <c r="G15" s="715">
        <v>2.5396999999999999E-2</v>
      </c>
      <c r="H15"/>
      <c r="I15"/>
      <c r="J15"/>
      <c r="K15" s="437"/>
      <c r="L15" s="437"/>
    </row>
    <row r="16" spans="2:12" s="186" customFormat="1" ht="15" customHeight="1">
      <c r="C16" s="712"/>
      <c r="D16" s="712"/>
      <c r="E16" s="713" t="str">
        <f>IF(Indice_index!$Z$1=1,"027 - Segurança e acção social - Acção social","027 - Social Security and Action - Social Action")</f>
        <v>027 - Segurança e acção social - Acção social</v>
      </c>
      <c r="F16" s="715">
        <v>4.1508580000000004</v>
      </c>
      <c r="G16" s="715">
        <v>1.291582</v>
      </c>
      <c r="H16"/>
      <c r="I16"/>
      <c r="J16"/>
      <c r="K16" s="437"/>
      <c r="L16" s="437"/>
    </row>
    <row r="17" spans="3:12" s="186" customFormat="1" ht="15" customHeight="1">
      <c r="C17" s="712"/>
      <c r="D17" s="712"/>
      <c r="E17" s="713" t="str">
        <f>IF(Indice_index!$Z$1=1,"037 - Serviços Culturais, Recreativos E Religiosos - Desporto, Recreio e Lazer","037 - Cultural, recreational and religious services - Sports, recreation and leisure")</f>
        <v>037 - Serviços Culturais, Recreativos E Religiosos - Desporto, Recreio e Lazer</v>
      </c>
      <c r="F17" s="715">
        <v>0.74811000000000005</v>
      </c>
      <c r="G17" s="715">
        <v>0.77912499999999996</v>
      </c>
      <c r="H17"/>
      <c r="I17"/>
      <c r="J17"/>
      <c r="K17" s="437"/>
      <c r="L17" s="437"/>
    </row>
    <row r="18" spans="3:12" s="186" customFormat="1" ht="15" customHeight="1">
      <c r="C18" s="712"/>
      <c r="D18" s="712"/>
      <c r="E18" s="713" t="str">
        <f>IF(Indice_index!$Z$1=1,"063 - Outras funções económicas - Administração e regulamentação","063 - Outher economic functions - Administration e regulation")</f>
        <v>063 - Outras funções económicas - Administração e regulamentação</v>
      </c>
      <c r="F18" s="715">
        <v>1.869996</v>
      </c>
      <c r="G18" s="715">
        <v>0.464528</v>
      </c>
      <c r="H18"/>
      <c r="I18"/>
      <c r="J18"/>
      <c r="K18" s="437"/>
      <c r="L18" s="437"/>
    </row>
    <row r="19" spans="3:12" s="186" customFormat="1" ht="15" customHeight="1">
      <c r="C19" s="712"/>
      <c r="D19" s="712"/>
      <c r="E19" s="713" t="str">
        <f>IF(Indice_index!$Z$1=1,"101 - Plano Nacional de Gestão Integrada de Fogos Rurais","101 - National Plan on Integrated Rural Fire Management")</f>
        <v>101 - Plano Nacional de Gestão Integrada de Fogos Rurais</v>
      </c>
      <c r="F19" s="715">
        <v>2.6169519999999999</v>
      </c>
      <c r="G19" s="715">
        <v>2.6169519999999999</v>
      </c>
      <c r="H19"/>
      <c r="I19"/>
      <c r="J19"/>
      <c r="K19" s="437"/>
      <c r="L19" s="437"/>
    </row>
    <row r="20" spans="3:12" s="186" customFormat="1" ht="15" customHeight="1">
      <c r="C20" s="716"/>
      <c r="D20" s="717"/>
      <c r="E20" s="720" t="str">
        <f>C12</f>
        <v>PCM</v>
      </c>
      <c r="F20" s="719">
        <f>SUM(F12:F19)</f>
        <v>20.852307000000003</v>
      </c>
      <c r="G20" s="719">
        <f>SUM(G12:G19)</f>
        <v>14.121969</v>
      </c>
      <c r="H20"/>
      <c r="I20"/>
      <c r="J20"/>
      <c r="K20" s="437"/>
      <c r="L20" s="437"/>
    </row>
    <row r="21" spans="3:12" s="186" customFormat="1" ht="15" customHeight="1">
      <c r="C21" s="716" t="str">
        <f>IF(Indice_index!$Z$1=1,"MCT","MTC")</f>
        <v>MCT</v>
      </c>
      <c r="D21" s="712" t="str">
        <f>IF(Indice_index!$Z$1=1,"P002 - Governação","P002 - Government")</f>
        <v>P002 - Governação</v>
      </c>
      <c r="E21" s="713" t="str">
        <f>IF(Indice_index!$Z$1=1,"001 - Serv. Gerais da A.P. - Administração geral","001 - General public services - General Administration")</f>
        <v>001 - Serv. Gerais da A.P. - Administração geral</v>
      </c>
      <c r="F21" s="715">
        <v>0.69631500000000002</v>
      </c>
      <c r="G21" s="715">
        <v>0.34497299999999997</v>
      </c>
      <c r="H21"/>
      <c r="I21"/>
      <c r="J21"/>
      <c r="K21" s="437"/>
      <c r="L21" s="437"/>
    </row>
    <row r="22" spans="3:12" s="186" customFormat="1" ht="15" customHeight="1">
      <c r="C22" s="716"/>
      <c r="D22" s="712"/>
      <c r="E22" s="721" t="str">
        <f>IF(Indice_index!$Z$1=1,"028 - Habitação e serv. Colectivos - Administração e regulamentação","028 - Housing and Common services - Administration and regulations")</f>
        <v>028 - Habitação e serv. Colectivos - Administração e regulamentação</v>
      </c>
      <c r="F22" s="715">
        <v>3.157985</v>
      </c>
      <c r="G22" s="715">
        <v>2.941535</v>
      </c>
      <c r="H22"/>
      <c r="I22"/>
      <c r="J22"/>
      <c r="K22" s="437"/>
      <c r="L22" s="437"/>
    </row>
    <row r="23" spans="3:12" s="186" customFormat="1" ht="15" customHeight="1">
      <c r="C23" s="716"/>
      <c r="D23" s="712"/>
      <c r="E23" s="721" t="str">
        <f>IF(Indice_index!$Z$1=1,"031 - Habitação e serv. Colectivos - Ordenamento do território","031 - Housing and Common services - Land-use")</f>
        <v>031 - Habitação e serv. Colectivos - Ordenamento do território</v>
      </c>
      <c r="F23" s="715">
        <v>0.95013700000000001</v>
      </c>
      <c r="G23" s="715">
        <v>0.97144699999999995</v>
      </c>
      <c r="H23"/>
      <c r="I23"/>
      <c r="J23"/>
      <c r="K23" s="437"/>
      <c r="L23" s="437"/>
    </row>
    <row r="24" spans="3:12" s="186" customFormat="1" ht="15" customHeight="1">
      <c r="C24" s="716"/>
      <c r="D24" s="712"/>
      <c r="E24" s="72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24" s="715">
        <v>7.8246999999999997E-2</v>
      </c>
      <c r="G24" s="715">
        <v>7.8246999999999997E-2</v>
      </c>
      <c r="H24"/>
      <c r="I24"/>
      <c r="J24"/>
      <c r="K24" s="437"/>
      <c r="L24" s="437"/>
    </row>
    <row r="25" spans="3:12" s="186" customFormat="1" ht="15" customHeight="1">
      <c r="C25" s="716"/>
      <c r="D25" s="712"/>
      <c r="E25" s="721" t="str">
        <f>IF(Indice_index!$Z$1=1,"063 - Outras funções económicas - Administração e regulamentação","063 - Outher economic functions - Administration e regulation")</f>
        <v>063 - Outras funções económicas - Administração e regulamentação</v>
      </c>
      <c r="F25" s="715">
        <v>0.27668999999999999</v>
      </c>
      <c r="G25" s="715">
        <v>0.27668999999999999</v>
      </c>
      <c r="H25"/>
      <c r="I25"/>
      <c r="J25"/>
      <c r="K25" s="437"/>
      <c r="L25" s="437"/>
    </row>
    <row r="26" spans="3:12" s="186" customFormat="1" ht="15" customHeight="1">
      <c r="C26" s="716"/>
      <c r="D26" s="722"/>
      <c r="E26" s="720" t="str">
        <f>C21</f>
        <v>MCT</v>
      </c>
      <c r="F26" s="719">
        <f>SUM(F21:F25)</f>
        <v>5.1593740000000006</v>
      </c>
      <c r="G26" s="719">
        <f>SUM(G21:G25)</f>
        <v>4.6128920000000004</v>
      </c>
      <c r="H26"/>
      <c r="I26"/>
      <c r="J26"/>
      <c r="K26" s="437"/>
      <c r="L26" s="437"/>
    </row>
    <row r="27" spans="3:12" s="186" customFormat="1" ht="15" customHeight="1">
      <c r="C27" s="716"/>
      <c r="D27" s="717"/>
      <c r="E27" s="723" t="str">
        <f>D21</f>
        <v>P002 - Governação</v>
      </c>
      <c r="F27" s="719">
        <f>SUM(F20,F26)</f>
        <v>26.011681000000003</v>
      </c>
      <c r="G27" s="719">
        <f>SUM(G20,G26)</f>
        <v>18.734861000000002</v>
      </c>
      <c r="H27"/>
      <c r="I27"/>
      <c r="J27"/>
      <c r="K27" s="437"/>
      <c r="L27" s="437"/>
    </row>
    <row r="28" spans="3:12" s="186" customFormat="1" ht="15" customHeight="1">
      <c r="C28" s="716" t="str">
        <f>IF(Indice_index!$Z$1=1,"MNE","MFA")</f>
        <v>MNE</v>
      </c>
      <c r="D28" s="712" t="str">
        <f>IF(Indice_index!$Z$1=1,"P003 - Representação Externa","P003 - Foreign Affairs")</f>
        <v>P003 - Representação Externa</v>
      </c>
      <c r="E28" s="713" t="str">
        <f>IF(Indice_index!$Z$1=1,"002 - Serv. Gerais da A.P. - Negócios estrangeiros","002 - General public services - Foreign affairs")</f>
        <v>002 - Serv. Gerais da A.P. - Negócios estrangeiros</v>
      </c>
      <c r="F28" s="714">
        <v>22.226942000000001</v>
      </c>
      <c r="G28" s="714">
        <v>18.109247</v>
      </c>
      <c r="H28"/>
      <c r="I28"/>
      <c r="J28"/>
      <c r="K28" s="437"/>
      <c r="L28" s="437"/>
    </row>
    <row r="29" spans="3:12" s="186" customFormat="1" ht="15" customHeight="1">
      <c r="C29" s="716"/>
      <c r="D29" s="712"/>
      <c r="E29" s="713" t="str">
        <f>IF(Indice_index!$Z$1=1,"003 - Serv. Gerais da A.P. - Cooperação económica externa","003 - General public services - External economic cooperation")</f>
        <v>003 - Serv. Gerais da A.P. - Cooperação económica externa</v>
      </c>
      <c r="F29" s="715">
        <v>9.4118999999999994E-2</v>
      </c>
      <c r="G29" s="715">
        <v>9.4118999999999994E-2</v>
      </c>
      <c r="H29"/>
      <c r="I29"/>
      <c r="J29"/>
      <c r="K29" s="437"/>
      <c r="L29" s="437"/>
    </row>
    <row r="30" spans="3:12" s="186" customFormat="1" ht="15" customHeight="1">
      <c r="C30" s="716"/>
      <c r="D30" s="712"/>
      <c r="E30" s="713" t="str">
        <f>IF(Indice_index!$Z$1=1,"065 - Outras funções económicas - Diversas não especificadas","065 - Other economic functions - Various unspecified")</f>
        <v>065 - Outras funções económicas - Diversas não especificadas</v>
      </c>
      <c r="F30" s="715">
        <v>7.2282529999999996</v>
      </c>
      <c r="G30" s="715">
        <v>7.2282529999999996</v>
      </c>
      <c r="H30"/>
      <c r="I30"/>
      <c r="J30"/>
      <c r="K30" s="437"/>
      <c r="L30" s="437"/>
    </row>
    <row r="31" spans="3:12" s="186" customFormat="1" ht="15" customHeight="1">
      <c r="C31" s="716"/>
      <c r="D31" s="717"/>
      <c r="E31" s="723" t="str">
        <f>D28</f>
        <v>P003 - Representação Externa</v>
      </c>
      <c r="F31" s="719">
        <f>SUM(F28:F30)</f>
        <v>29.549313999999999</v>
      </c>
      <c r="G31" s="719">
        <f>SUM(G28:G30)</f>
        <v>25.431618999999998</v>
      </c>
      <c r="H31"/>
      <c r="I31"/>
      <c r="J31"/>
      <c r="K31" s="437"/>
      <c r="L31" s="437"/>
    </row>
    <row r="32" spans="3:12" s="186" customFormat="1" ht="15" customHeight="1">
      <c r="C32" s="716" t="str">
        <f>IF(Indice_index!$Z$1=1,"MDN","MND")</f>
        <v>MDN</v>
      </c>
      <c r="D32" s="712" t="str">
        <f>IF(Indice_index!$Z$1=1,"P004 - Defesa","P004 - Defence")</f>
        <v>P004 - Defesa</v>
      </c>
      <c r="E32" s="713" t="str">
        <f>IF(Indice_index!$Z$1=1,"004 - Serv. Gerais da A.P. - Investigação científica de carácter geral","004 - General public services - General scientific research")</f>
        <v>004 - Serv. Gerais da A.P. - Investigação científica de carácter geral</v>
      </c>
      <c r="F32" s="714">
        <v>1.0714E-2</v>
      </c>
      <c r="G32" s="714">
        <v>1.0715000000000001E-2</v>
      </c>
      <c r="H32"/>
      <c r="I32"/>
      <c r="J32"/>
      <c r="K32" s="437"/>
      <c r="L32" s="437"/>
    </row>
    <row r="33" spans="3:12" s="186" customFormat="1" ht="15" customHeight="1">
      <c r="C33" s="716"/>
      <c r="D33" s="712"/>
      <c r="E33" s="713" t="str">
        <f>IF(Indice_index!$Z$1=1,"005 - Defesa Nacional - Administração e regulamentação","005 - National Defence - Administration and regulations")</f>
        <v>005 - Defesa Nacional - Administração e regulamentação</v>
      </c>
      <c r="F33" s="715">
        <v>6.2403370000000002</v>
      </c>
      <c r="G33" s="715">
        <v>6.631221</v>
      </c>
      <c r="H33"/>
      <c r="I33"/>
      <c r="J33"/>
      <c r="K33" s="437"/>
      <c r="L33" s="437"/>
    </row>
    <row r="34" spans="3:12" s="186" customFormat="1" ht="15" customHeight="1">
      <c r="C34" s="716"/>
      <c r="D34" s="712"/>
      <c r="E34" s="713" t="str">
        <f>IF(Indice_index!$Z$1=1,"006 - Defesa Nacional - Investigação","006 - National Defence - Research")</f>
        <v>006 - Defesa Nacional - Investigação</v>
      </c>
      <c r="F34" s="715">
        <v>0.130353</v>
      </c>
      <c r="G34" s="715">
        <v>0.13964599999999999</v>
      </c>
      <c r="H34"/>
      <c r="I34"/>
      <c r="J34"/>
      <c r="K34" s="437"/>
      <c r="L34" s="437"/>
    </row>
    <row r="35" spans="3:12" s="186" customFormat="1" ht="15" customHeight="1">
      <c r="C35" s="716"/>
      <c r="D35" s="712"/>
      <c r="E35" s="713" t="str">
        <f>IF(Indice_index!$Z$1=1,"007 - Defesa Nacional - Forças Armadas","007 - National Defence - Armed Forces")</f>
        <v>007 - Defesa Nacional - Forças Armadas</v>
      </c>
      <c r="F35" s="715">
        <v>48.405886000000002</v>
      </c>
      <c r="G35" s="715">
        <v>21.197724999999998</v>
      </c>
      <c r="H35"/>
      <c r="I35"/>
      <c r="J35"/>
      <c r="K35" s="437"/>
      <c r="L35" s="437"/>
    </row>
    <row r="36" spans="3:12" s="186" customFormat="1" ht="15" customHeight="1">
      <c r="C36" s="716"/>
      <c r="D36" s="712"/>
      <c r="E36" s="713" t="str">
        <f>IF(Indice_index!$Z$1=1,"008 - Defesa Nacional - Cooperação militar externa","008 - National Defence - Foreign military cooperation")</f>
        <v>008 - Defesa Nacional - Cooperação militar externa</v>
      </c>
      <c r="F36" s="715">
        <v>1.2456970000000001</v>
      </c>
      <c r="G36" s="715">
        <v>1.2941590000000001</v>
      </c>
      <c r="H36"/>
      <c r="I36"/>
      <c r="J36"/>
      <c r="K36" s="437"/>
      <c r="L36" s="437"/>
    </row>
    <row r="37" spans="3:12" s="186" customFormat="1" ht="15" customHeight="1">
      <c r="C37" s="716"/>
      <c r="D37" s="712"/>
      <c r="E37" s="713" t="str">
        <f>IF(Indice_index!$Z$1=1,"014 - Segurança e ordem públicas - Protecção civil e luta contra incêndios","014 - Public safety and order - Civil Protection and  fire fighting")</f>
        <v>014 - Segurança e ordem públicas - Protecção civil e luta contra incêndios</v>
      </c>
      <c r="F37" s="715">
        <v>14.449267000000001</v>
      </c>
      <c r="G37" s="715">
        <v>4.710731</v>
      </c>
      <c r="H37"/>
      <c r="I37"/>
      <c r="J37"/>
      <c r="K37" s="437"/>
      <c r="L37" s="437"/>
    </row>
    <row r="38" spans="3:12" s="186" customFormat="1" ht="15" customHeight="1">
      <c r="C38" s="716"/>
      <c r="D38" s="712"/>
      <c r="E38" s="713" t="str">
        <f>IF(Indice_index!$Z$1=1,"017 - Educação - Estabelecimentos de ensino não superior","017 - Education - Non higher educations institutions")</f>
        <v>017 - Educação - Estabelecimentos de ensino não superior</v>
      </c>
      <c r="F38" s="715">
        <v>0.14027500000000001</v>
      </c>
      <c r="G38" s="715">
        <v>1.5275E-2</v>
      </c>
      <c r="H38"/>
      <c r="I38"/>
      <c r="J38"/>
      <c r="K38" s="437"/>
      <c r="L38" s="437"/>
    </row>
    <row r="39" spans="3:12" s="186" customFormat="1" ht="15" customHeight="1">
      <c r="C39" s="716"/>
      <c r="D39" s="712"/>
      <c r="E39" s="713" t="str">
        <f>IF(Indice_index!$Z$1=1,"018 - Educação - Estabelecimentos de ensino superior","018 - Education - Higher educations institutions")</f>
        <v>018 - Educação - Estabelecimentos de ensino superior</v>
      </c>
      <c r="F39" s="715">
        <v>1.5900000000000001E-2</v>
      </c>
      <c r="G39" s="715">
        <v>1.5900000000000001E-2</v>
      </c>
      <c r="H39"/>
      <c r="I39"/>
      <c r="J39"/>
      <c r="K39" s="437"/>
      <c r="L39" s="437"/>
    </row>
    <row r="40" spans="3:12" s="186" customFormat="1" ht="15" customHeight="1">
      <c r="C40" s="716"/>
      <c r="D40" s="712"/>
      <c r="E40" s="713" t="str">
        <f>IF(Indice_index!$Z$1=1,"022 - Saúde - Hospitais e clínicas","022 - Health - Hospitals and clinics")</f>
        <v>022 - Saúde - Hospitais e clínicas</v>
      </c>
      <c r="F40" s="715">
        <v>0.205013</v>
      </c>
      <c r="G40" s="715">
        <v>0.205013</v>
      </c>
      <c r="H40"/>
      <c r="I40"/>
      <c r="J40"/>
      <c r="K40" s="437"/>
      <c r="L40" s="437"/>
    </row>
    <row r="41" spans="3:12" s="186" customFormat="1" ht="15" customHeight="1">
      <c r="C41" s="716"/>
      <c r="D41" s="712"/>
      <c r="E41" s="721" t="str">
        <f>IF(Indice_index!$Z$1=1,"027 - Segurança e acção social - Acção social","027 - Social Security and Action - Social Action")</f>
        <v>027 - Segurança e acção social - Acção social</v>
      </c>
      <c r="F41" s="715">
        <v>1.487079</v>
      </c>
      <c r="G41" s="715">
        <v>0.1</v>
      </c>
      <c r="H41"/>
      <c r="I41"/>
      <c r="J41"/>
      <c r="K41" s="437"/>
      <c r="L41" s="437"/>
    </row>
    <row r="42" spans="3:12" s="186" customFormat="1" ht="15" customHeight="1">
      <c r="C42" s="716"/>
      <c r="D42" s="712"/>
      <c r="E42" s="713" t="str">
        <f>IF(Indice_index!$Z$1=1,"049 - Industria e energia - Indústrias transformadoras","049 - Industry and energy - Manufacturing industries")</f>
        <v>049 - Industria e energia - Indústrias transformadoras</v>
      </c>
      <c r="F42" s="715">
        <v>7.4807269999999999</v>
      </c>
      <c r="G42" s="715">
        <v>0.13500000000000001</v>
      </c>
      <c r="H42"/>
      <c r="I42"/>
      <c r="J42"/>
      <c r="K42" s="437"/>
      <c r="L42" s="437"/>
    </row>
    <row r="43" spans="3:12" s="186" customFormat="1" ht="15" customHeight="1">
      <c r="C43" s="716"/>
      <c r="D43" s="717"/>
      <c r="E43" s="723" t="str">
        <f>D32</f>
        <v>P004 - Defesa</v>
      </c>
      <c r="F43" s="724">
        <f>SUM(F32:F42)</f>
        <v>79.811248000000006</v>
      </c>
      <c r="G43" s="724">
        <f>SUM(G32:G42)</f>
        <v>34.455385000000007</v>
      </c>
      <c r="H43"/>
      <c r="I43"/>
      <c r="J43"/>
      <c r="K43" s="437"/>
      <c r="L43" s="437"/>
    </row>
    <row r="44" spans="3:12" s="186" customFormat="1" ht="15" customHeight="1">
      <c r="C44" s="716" t="str">
        <f>IF(Indice_index!$Z$1=1,"MAI","MIA")</f>
        <v>MAI</v>
      </c>
      <c r="D44" s="712" t="str">
        <f>IF(Indice_index!$Z$1=1,"P005 - Segurança Interna","P005 - Internal Security")</f>
        <v>P005 - Segurança Interna</v>
      </c>
      <c r="E44" s="721" t="str">
        <f>IF(Indice_index!$Z$1=1,"009 - Segurança e ordem públicas - Administração e regulamentação","009 - Public safety and order - Administration and regulations")</f>
        <v>009 - Segurança e ordem públicas - Administração e regulamentação</v>
      </c>
      <c r="F44" s="715">
        <v>13.230888</v>
      </c>
      <c r="G44" s="715">
        <v>13.700751500000001</v>
      </c>
      <c r="H44"/>
      <c r="I44"/>
      <c r="J44"/>
      <c r="K44" s="437"/>
      <c r="L44" s="437"/>
    </row>
    <row r="45" spans="3:12" s="186" customFormat="1" ht="15" customHeight="1">
      <c r="C45" s="716"/>
      <c r="D45" s="712"/>
      <c r="E45" s="725" t="str">
        <f>IF(Indice_index!$Z$1=1,"011 - Segurança e ordem públicas - Forças de segurança","011 - Public safety and order - Security forces")</f>
        <v>011 - Segurança e ordem públicas - Forças de segurança</v>
      </c>
      <c r="F45" s="726">
        <v>24.482011</v>
      </c>
      <c r="G45" s="726">
        <v>15.20051</v>
      </c>
      <c r="H45"/>
      <c r="I45"/>
      <c r="J45"/>
      <c r="K45" s="437"/>
      <c r="L45" s="437"/>
    </row>
    <row r="46" spans="3:12" s="186" customFormat="1" ht="15" customHeight="1">
      <c r="C46" s="716"/>
      <c r="D46" s="712"/>
      <c r="E46" s="725" t="str">
        <f>IF(Indice_index!$Z$1=1,"014 - Segurança e ordem públicas - Protecção civil e luta contra incêndios","014 - Public safety and order - Civil Protection and  fire fighting")</f>
        <v>014 - Segurança e ordem públicas - Protecção civil e luta contra incêndios</v>
      </c>
      <c r="F46" s="726">
        <v>2.0393129999999999</v>
      </c>
      <c r="G46" s="726">
        <v>0.34813300000000003</v>
      </c>
      <c r="H46"/>
      <c r="I46"/>
      <c r="J46"/>
      <c r="K46" s="437"/>
      <c r="L46" s="437"/>
    </row>
    <row r="47" spans="3:12" s="186" customFormat="1" ht="15" customHeight="1">
      <c r="C47" s="716"/>
      <c r="D47" s="712"/>
      <c r="E47" s="721" t="str">
        <f>IF(Indice_index!$Z$1=1,"017 - Educação - Estabelecimentos de ensino não superior","017 - Education - Non higher educations institutions")</f>
        <v>017 - Educação - Estabelecimentos de ensino não superior</v>
      </c>
      <c r="F47" s="715">
        <v>1.343429</v>
      </c>
      <c r="G47" s="715">
        <v>0</v>
      </c>
      <c r="H47"/>
      <c r="I47"/>
      <c r="J47"/>
      <c r="K47" s="437"/>
      <c r="L47" s="437"/>
    </row>
    <row r="48" spans="3:12" s="186" customFormat="1" ht="15" customHeight="1">
      <c r="C48" s="716"/>
      <c r="D48" s="712"/>
      <c r="E48" s="721" t="str">
        <f>IF(Indice_index!$Z$1=1,"018 - Educação - Estabelecimentos de ensino superior","018 - Education - Higher educations institutions")</f>
        <v>018 - Educação - Estabelecimentos de ensino superior</v>
      </c>
      <c r="F48" s="715">
        <v>0.397063</v>
      </c>
      <c r="G48" s="715">
        <v>0</v>
      </c>
      <c r="H48"/>
      <c r="I48"/>
      <c r="J48"/>
      <c r="K48" s="437"/>
      <c r="L48" s="437"/>
    </row>
    <row r="49" spans="3:12" s="186" customFormat="1" ht="15" customHeight="1">
      <c r="C49" s="716"/>
      <c r="D49" s="712"/>
      <c r="E49" s="721" t="str">
        <f>IF(Indice_index!$Z$1=1,"027 - Segurança e acção social - Acção social","027 - Social Security and Action - Social Action")</f>
        <v>027 - Segurança e acção social - Acção social</v>
      </c>
      <c r="F49" s="715">
        <v>2.3443960000000001</v>
      </c>
      <c r="G49" s="715">
        <v>2.1360999999999999</v>
      </c>
      <c r="H49"/>
      <c r="I49"/>
      <c r="J49"/>
      <c r="K49" s="437"/>
      <c r="L49" s="437"/>
    </row>
    <row r="50" spans="3:12" s="186" customFormat="1" ht="22.5">
      <c r="C50" s="716"/>
      <c r="D50" s="712"/>
      <c r="E50" s="727"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50" s="715">
        <v>6.4373500000000003</v>
      </c>
      <c r="G50" s="715">
        <v>6.4373500000000003</v>
      </c>
      <c r="H50"/>
      <c r="I50"/>
      <c r="J50"/>
      <c r="K50" s="437"/>
      <c r="L50" s="437"/>
    </row>
    <row r="51" spans="3:12" s="186" customFormat="1" ht="15" customHeight="1">
      <c r="C51" s="716"/>
      <c r="D51" s="712"/>
      <c r="E51" s="728" t="str">
        <f>IF(Indice_index!$Z$1=1,"089 - Segurança e ordem públicas - LPIEFSS - Veículos","089 - Public safety and order - Infrastructure and equipment planning law for security forces and services - Vehicles")</f>
        <v>089 - Segurança e ordem públicas - LPIEFSS - Veículos</v>
      </c>
      <c r="F51" s="715">
        <v>0.51937500000000003</v>
      </c>
      <c r="G51" s="715">
        <v>0.51937500000000003</v>
      </c>
      <c r="H51"/>
      <c r="I51"/>
      <c r="J51"/>
      <c r="K51" s="437"/>
      <c r="L51" s="437"/>
    </row>
    <row r="52" spans="3:12" s="186" customFormat="1" ht="15" customHeight="1">
      <c r="C52" s="716"/>
      <c r="D52" s="712"/>
      <c r="E52" s="728"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52" s="715">
        <v>0.157857</v>
      </c>
      <c r="G52" s="715">
        <v>0.157857</v>
      </c>
      <c r="H52"/>
      <c r="I52"/>
      <c r="J52"/>
      <c r="K52" s="437"/>
      <c r="L52" s="437"/>
    </row>
    <row r="53" spans="3:12" s="186" customFormat="1" ht="15" customHeight="1">
      <c r="C53" s="716"/>
      <c r="D53" s="712"/>
      <c r="E53" s="728"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53" s="715">
        <v>0.383463</v>
      </c>
      <c r="G53" s="715">
        <v>0.383463</v>
      </c>
      <c r="H53"/>
      <c r="I53"/>
      <c r="J53"/>
      <c r="K53" s="437"/>
      <c r="L53" s="437"/>
    </row>
    <row r="54" spans="3:12" s="186" customFormat="1" ht="15" customHeight="1">
      <c r="C54" s="716"/>
      <c r="D54" s="712"/>
      <c r="E54" s="721" t="str">
        <f>IF(Indice_index!$Z$1=1,"100 - Iniciativas de  Ação Climática","100 - Climate Action Iniciatives")</f>
        <v>100 - Iniciativas de  Ação Climática</v>
      </c>
      <c r="F54" s="715">
        <v>0.03</v>
      </c>
      <c r="G54" s="715">
        <v>0</v>
      </c>
      <c r="H54"/>
      <c r="I54"/>
      <c r="J54"/>
      <c r="K54" s="437"/>
      <c r="L54" s="437"/>
    </row>
    <row r="55" spans="3:12" s="186" customFormat="1" ht="15" customHeight="1">
      <c r="C55" s="716"/>
      <c r="D55" s="712"/>
      <c r="E55" s="721" t="str">
        <f>IF(Indice_index!$Z$1=1,"101 - Plano Nacional de Gestão Integrada de Fogos Rurais","101 - National Plan on Integrated Rural Fire Management")</f>
        <v>101 - Plano Nacional de Gestão Integrada de Fogos Rurais</v>
      </c>
      <c r="F55" s="715">
        <v>0.35473700000000002</v>
      </c>
      <c r="G55" s="715">
        <v>0.35473700000000002</v>
      </c>
      <c r="H55"/>
      <c r="I55"/>
      <c r="J55"/>
      <c r="K55" s="437"/>
      <c r="L55" s="437"/>
    </row>
    <row r="56" spans="3:12" s="186" customFormat="1" ht="15" customHeight="1">
      <c r="C56" s="716"/>
      <c r="D56" s="717"/>
      <c r="E56" s="723" t="str">
        <f>D44</f>
        <v>P005 - Segurança Interna</v>
      </c>
      <c r="F56" s="719">
        <f>SUM(F44:F55)</f>
        <v>51.719882000000005</v>
      </c>
      <c r="G56" s="719">
        <f>SUM(G44:G55)</f>
        <v>39.238276499999998</v>
      </c>
      <c r="H56"/>
      <c r="I56"/>
      <c r="J56"/>
      <c r="K56" s="437"/>
      <c r="L56" s="437"/>
    </row>
    <row r="57" spans="3:12" s="186" customFormat="1" ht="15" customHeight="1">
      <c r="C57" s="716" t="str">
        <f>IF(Indice_index!$Z$1=1,"MJ","MJ")</f>
        <v>MJ</v>
      </c>
      <c r="D57" s="712" t="str">
        <f>IF(Indice_index!$Z$1=1,"P006 - Justiça","P006 - Justice")</f>
        <v>P006 - Justiça</v>
      </c>
      <c r="E57" s="713" t="str">
        <f>IF(Indice_index!$Z$1=1,"001 - Serv. Gerais da A.P. - Administração geral","001 - General public services - General Administration")</f>
        <v>001 - Serv. Gerais da A.P. - Administração geral</v>
      </c>
      <c r="F57" s="714">
        <v>0.59579599999999999</v>
      </c>
      <c r="G57" s="714">
        <v>0.59579599999999999</v>
      </c>
      <c r="H57"/>
      <c r="I57"/>
      <c r="J57"/>
      <c r="K57" s="437"/>
      <c r="L57" s="437"/>
    </row>
    <row r="58" spans="3:12" s="186" customFormat="1" ht="15" customHeight="1">
      <c r="C58" s="716"/>
      <c r="D58" s="712"/>
      <c r="E58" s="721" t="str">
        <f>IF(Indice_index!$Z$1=1,"009 - Segurança e ordem públicas - Administração e regulamentação","009 - Public safety and order - Administration and regulations")</f>
        <v>009 - Segurança e ordem públicas - Administração e regulamentação</v>
      </c>
      <c r="F58" s="715">
        <v>22.532354999999999</v>
      </c>
      <c r="G58" s="715">
        <v>20.037192000000001</v>
      </c>
      <c r="H58"/>
      <c r="I58"/>
      <c r="J58"/>
      <c r="K58" s="437"/>
      <c r="L58" s="437"/>
    </row>
    <row r="59" spans="3:12" s="186" customFormat="1" ht="15" customHeight="1">
      <c r="C59" s="716"/>
      <c r="D59" s="712"/>
      <c r="E59" s="721" t="str">
        <f>IF(Indice_index!$Z$1=1,"010 - Segurança e ordem públicas - Investigação","010 - Public safety and order - Research")</f>
        <v>010 - Segurança e ordem públicas - Investigação</v>
      </c>
      <c r="F59" s="715">
        <v>2.1893850000000001</v>
      </c>
      <c r="G59" s="715">
        <v>2.592311</v>
      </c>
      <c r="H59"/>
      <c r="I59"/>
      <c r="J59"/>
      <c r="K59" s="437"/>
      <c r="L59" s="437"/>
    </row>
    <row r="60" spans="3:12" s="186" customFormat="1" ht="15" customHeight="1">
      <c r="C60" s="716"/>
      <c r="D60" s="712"/>
      <c r="E60" s="721" t="str">
        <f>IF(Indice_index!$Z$1=1,"012 - Segurança e ordem públicas - Sistema judiciário","012 - Public safety and order - Judicial system")</f>
        <v>012 - Segurança e ordem públicas - Sistema judiciário</v>
      </c>
      <c r="F60" s="715">
        <v>13.326938999999999</v>
      </c>
      <c r="G60" s="715">
        <v>13.479837</v>
      </c>
      <c r="H60"/>
      <c r="I60"/>
      <c r="J60"/>
      <c r="K60" s="437"/>
      <c r="L60" s="437"/>
    </row>
    <row r="61" spans="3:12" s="186" customFormat="1" ht="15" customHeight="1">
      <c r="C61" s="716"/>
      <c r="D61" s="712"/>
      <c r="E61" s="721"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61" s="715">
        <v>12.256631</v>
      </c>
      <c r="G61" s="715">
        <v>1.247646</v>
      </c>
      <c r="H61"/>
      <c r="I61"/>
      <c r="J61"/>
      <c r="K61" s="437"/>
      <c r="L61" s="437"/>
    </row>
    <row r="62" spans="3:12" s="186" customFormat="1" ht="15" customHeight="1">
      <c r="C62" s="716"/>
      <c r="D62" s="712"/>
      <c r="E62" s="721" t="str">
        <f>IF(Indice_index!$Z$1=1,"063 - Outras funções económicas - Administração e regulamentação","063 - Outher economic functions - Administration e regulation")</f>
        <v>063 - Outras funções económicas - Administração e regulamentação</v>
      </c>
      <c r="F62" s="715">
        <v>1.4080090000000001</v>
      </c>
      <c r="G62" s="715">
        <v>1.4081589999999999</v>
      </c>
      <c r="H62"/>
      <c r="I62"/>
      <c r="J62"/>
      <c r="K62" s="437"/>
      <c r="L62" s="437"/>
    </row>
    <row r="63" spans="3:12" s="186" customFormat="1" ht="15" customHeight="1">
      <c r="C63" s="716"/>
      <c r="D63" s="712"/>
      <c r="E63" s="721" t="str">
        <f>IF(Indice_index!$Z$1=1,"065 - Outras funções económicas - Diversas não especificadas","065 - Other economic functions - Various unspecified")</f>
        <v>065 - Outras funções económicas - Diversas não especificadas</v>
      </c>
      <c r="F63" s="715">
        <v>0.72763800000000001</v>
      </c>
      <c r="G63" s="715">
        <v>0.76109400000000005</v>
      </c>
      <c r="H63"/>
      <c r="I63"/>
      <c r="J63"/>
      <c r="K63" s="437"/>
      <c r="L63" s="437"/>
    </row>
    <row r="64" spans="3:12" s="186" customFormat="1" ht="15" customHeight="1">
      <c r="C64" s="716"/>
      <c r="D64" s="712"/>
      <c r="E64" s="721" t="str">
        <f>IF(Indice_index!$Z$1=1,"068 - Outras funções - Diversas não especificadas","068 - Other functions - Various unspecified")</f>
        <v>068 - Outras funções - Diversas não especificadas</v>
      </c>
      <c r="F64" s="715">
        <v>3.5666999999999997E-2</v>
      </c>
      <c r="G64" s="715">
        <v>3.5666999999999997E-2</v>
      </c>
      <c r="H64"/>
      <c r="I64"/>
      <c r="J64"/>
      <c r="K64" s="437"/>
      <c r="L64" s="437"/>
    </row>
    <row r="65" spans="3:12" s="186" customFormat="1" ht="15" customHeight="1">
      <c r="C65" s="716"/>
      <c r="D65" s="717"/>
      <c r="E65" s="723" t="str">
        <f>D57</f>
        <v>P006 - Justiça</v>
      </c>
      <c r="F65" s="724">
        <f>SUM(F57:F64)</f>
        <v>53.072419999999994</v>
      </c>
      <c r="G65" s="724">
        <f>SUM(G57:G64)</f>
        <v>40.157701999999993</v>
      </c>
      <c r="H65"/>
      <c r="I65"/>
      <c r="J65"/>
      <c r="K65" s="437"/>
      <c r="L65" s="437"/>
    </row>
    <row r="66" spans="3:12" s="186" customFormat="1" ht="15" customHeight="1">
      <c r="C66" s="716" t="str">
        <f>IF(Indice_index!$Z$1=1,"MF","MF")</f>
        <v>MF</v>
      </c>
      <c r="D66" s="712" t="str">
        <f>IF(Indice_index!$Z$1=1,"P007 - Finanças","P007 - Finance and Public Administration")</f>
        <v>P007 - Finanças</v>
      </c>
      <c r="E66" s="713" t="str">
        <f>IF(Indice_index!$Z$1=1,"001 - Serv. Gerais da A.P. - Administração geral","001 - General public services - General Administration")</f>
        <v>001 - Serv. Gerais da A.P. - Administração geral</v>
      </c>
      <c r="F66" s="714">
        <v>42.404663999999997</v>
      </c>
      <c r="G66" s="714">
        <v>22.762460999999998</v>
      </c>
      <c r="H66"/>
      <c r="I66"/>
      <c r="J66"/>
      <c r="K66" s="437"/>
      <c r="L66" s="437"/>
    </row>
    <row r="67" spans="3:12" s="186" customFormat="1" ht="15" customHeight="1">
      <c r="C67" s="716"/>
      <c r="D67" s="712"/>
      <c r="E67" s="713" t="str">
        <f>IF(Indice_index!$Z$1=1,"003 - Serv. Gerais da A.P. - Cooperação económica externa","003 - General public services - External economic cooperation")</f>
        <v>003 - Serv. Gerais da A.P. - Cooperação económica externa</v>
      </c>
      <c r="F67" s="715">
        <v>7.4005000000000001E-2</v>
      </c>
      <c r="G67" s="715">
        <v>6.5216999999999997E-2</v>
      </c>
      <c r="H67"/>
      <c r="I67"/>
      <c r="J67"/>
      <c r="K67" s="437"/>
      <c r="L67" s="437"/>
    </row>
    <row r="68" spans="3:12" s="186" customFormat="1" ht="15" customHeight="1">
      <c r="C68" s="716"/>
      <c r="D68" s="712"/>
      <c r="E68" s="713" t="str">
        <f>IF(Indice_index!$Z$1=1,"065 - Outras funções económicas - Diversas não especificadas","065 - Other economic functions - Various unspecified")</f>
        <v>065 - Outras funções económicas - Diversas não especificadas</v>
      </c>
      <c r="F68" s="715">
        <v>21.052610000000001</v>
      </c>
      <c r="G68" s="715">
        <v>17.082716999999999</v>
      </c>
      <c r="H68"/>
      <c r="I68"/>
      <c r="J68"/>
      <c r="K68" s="437"/>
      <c r="L68" s="437"/>
    </row>
    <row r="69" spans="3:12" s="186" customFormat="1" ht="15" customHeight="1">
      <c r="C69" s="716"/>
      <c r="D69" s="717"/>
      <c r="E69" s="723" t="str">
        <f>D66</f>
        <v>P007 - Finanças</v>
      </c>
      <c r="F69" s="719">
        <f>SUM(F66:F68)</f>
        <v>63.531278999999998</v>
      </c>
      <c r="G69" s="719">
        <f>SUM(G66:G68)</f>
        <v>39.910394999999994</v>
      </c>
      <c r="H69"/>
      <c r="I69"/>
      <c r="J69"/>
      <c r="K69" s="437"/>
      <c r="L69" s="437"/>
    </row>
    <row r="70" spans="3:12" s="186" customFormat="1" ht="15" customHeight="1">
      <c r="C70" s="716"/>
      <c r="D70" s="729" t="str">
        <f>IF(Indice_index!$Z$1=1,"P008 - Gestão da Dívida Pública","P008 - Public Debt Management")</f>
        <v>P008 - Gestão da Dívida Pública</v>
      </c>
      <c r="E70" s="730" t="str">
        <f>IF(Indice_index!$Z$1=1,"066 - Outras funções - Operações da dívida pública","066 - Other functions - Public debt operations")</f>
        <v>066 - Outras funções - Operações da dívida pública</v>
      </c>
      <c r="F70" s="715">
        <v>0.13</v>
      </c>
      <c r="G70" s="715">
        <v>0.13</v>
      </c>
      <c r="H70"/>
      <c r="I70"/>
      <c r="J70"/>
      <c r="K70" s="437"/>
      <c r="L70" s="437"/>
    </row>
    <row r="71" spans="3:12" s="186" customFormat="1" ht="15" customHeight="1">
      <c r="C71" s="716" t="str">
        <f>IF(Indice_index!$Z$1=1,"MEM","MEM")</f>
        <v>MEM</v>
      </c>
      <c r="D71" s="712" t="str">
        <f>IF(Indice_index!$Z$1=1,"P009 - Economia e Mar","P009 - Economy and Sea")</f>
        <v>P009 - Economia e Mar</v>
      </c>
      <c r="E71" s="721" t="str">
        <f>IF(Indice_index!$Z$1=1,"040 - Agricultura, pecuária, silv, caça, pesca - Administração e regulamentação","040 - Crops, livestock, forestry, fisheries - Administration and regulations")</f>
        <v>040 - Agricultura, pecuária, silv, caça, pesca - Administração e regulamentação</v>
      </c>
      <c r="F71" s="715">
        <v>5.1156920000000001</v>
      </c>
      <c r="G71" s="715">
        <v>0.31436199999999997</v>
      </c>
      <c r="H71"/>
      <c r="I71"/>
      <c r="J71"/>
      <c r="K71" s="437"/>
      <c r="L71" s="437"/>
    </row>
    <row r="72" spans="3:12" s="186" customFormat="1" ht="15" customHeight="1">
      <c r="C72" s="716"/>
      <c r="D72" s="712"/>
      <c r="E72" s="721" t="str">
        <f>IF(Indice_index!$Z$1=1,"061 - Comércio e turismo - Comércio","061 - Trade and tourism - Trade")</f>
        <v>061 - Comércio e turismo - Comércio</v>
      </c>
      <c r="F72" s="715">
        <v>8.8450000000000004E-3</v>
      </c>
      <c r="G72" s="715">
        <v>8.8450000000000004E-3</v>
      </c>
      <c r="H72"/>
      <c r="I72"/>
      <c r="J72"/>
      <c r="K72" s="437"/>
      <c r="L72" s="437"/>
    </row>
    <row r="73" spans="3:12" s="186" customFormat="1" ht="15" customHeight="1">
      <c r="C73" s="716"/>
      <c r="D73" s="712"/>
      <c r="E73" s="721" t="str">
        <f>IF(Indice_index!$Z$1=1,"062 - Comércio e turismo - Turismo","062 - Trade and tourism - Tourism")</f>
        <v>062 - Comércio e turismo - Turismo</v>
      </c>
      <c r="F73" s="715">
        <v>4.3912319999999996</v>
      </c>
      <c r="G73" s="715">
        <v>1.5203979999999999</v>
      </c>
      <c r="H73"/>
      <c r="I73"/>
      <c r="J73"/>
      <c r="K73" s="437"/>
      <c r="L73" s="437"/>
    </row>
    <row r="74" spans="3:12" s="186" customFormat="1" ht="15" customHeight="1">
      <c r="C74" s="716"/>
      <c r="D74" s="712"/>
      <c r="E74" s="721" t="str">
        <f>IF(Indice_index!$Z$1=1,"063 - Outras funções económicas - Administração e regulamentação","063 - Outher economic functions - Administration e regulation")</f>
        <v>063 - Outras funções económicas - Administração e regulamentação</v>
      </c>
      <c r="F74" s="715">
        <v>3.3004570000000002</v>
      </c>
      <c r="G74" s="715">
        <v>1.4183490000000001</v>
      </c>
      <c r="H74"/>
      <c r="I74"/>
      <c r="J74"/>
      <c r="K74" s="437"/>
      <c r="L74" s="437"/>
    </row>
    <row r="75" spans="3:12" s="186" customFormat="1" ht="15" customHeight="1">
      <c r="C75" s="716"/>
      <c r="D75" s="712"/>
      <c r="E75" s="721" t="str">
        <f>IF(Indice_index!$Z$1=1,"065 - Outras funções económicas - Diversas não especificadas","065 - Other economic functions - Various unspecified")</f>
        <v>065 - Outras funções económicas - Diversas não especificadas</v>
      </c>
      <c r="F75" s="715">
        <v>12.732498</v>
      </c>
      <c r="G75" s="715">
        <v>13.177657999999999</v>
      </c>
      <c r="H75"/>
      <c r="I75"/>
      <c r="J75"/>
      <c r="K75" s="437"/>
      <c r="L75" s="437"/>
    </row>
    <row r="76" spans="3:12" s="186" customFormat="1" ht="15" customHeight="1">
      <c r="C76" s="716"/>
      <c r="D76" s="712"/>
      <c r="E76" s="721" t="str">
        <f>IF(Indice_index!$Z$1=1,"083 - Segurança e Ação Social - Integração da pessoa com deficiência","083 - Social Security and Action - Integration of the handicapped person")</f>
        <v>083 - Segurança e Ação Social - Integração da pessoa com deficiência</v>
      </c>
      <c r="F76" s="715">
        <v>1.0859999999999999E-3</v>
      </c>
      <c r="G76" s="715">
        <v>1.0859999999999999E-3</v>
      </c>
      <c r="H76"/>
      <c r="I76"/>
      <c r="J76"/>
      <c r="K76" s="437"/>
      <c r="L76" s="437"/>
    </row>
    <row r="77" spans="3:12" s="186" customFormat="1" ht="15" customHeight="1">
      <c r="C77" s="716"/>
      <c r="D77" s="712"/>
      <c r="E77" s="721" t="str">
        <f>IF(Indice_index!$Z$1=1,"086 - Comércio e Turismo - Imposto especial de jogo","086 - Trade and tourism - Special gambling tax")</f>
        <v>086 - Comércio e Turismo - Imposto especial de jogo</v>
      </c>
      <c r="F77" s="715">
        <v>9.0105819999999994</v>
      </c>
      <c r="G77" s="715">
        <v>0</v>
      </c>
      <c r="H77"/>
      <c r="I77"/>
      <c r="J77"/>
      <c r="K77" s="437"/>
      <c r="L77" s="437"/>
    </row>
    <row r="78" spans="3:12" s="186" customFormat="1" ht="15" customHeight="1">
      <c r="C78" s="716"/>
      <c r="D78" s="717"/>
      <c r="E78" s="723" t="str">
        <f>D71</f>
        <v>P009 - Economia e Mar</v>
      </c>
      <c r="F78" s="719">
        <f>SUM(F71:F77)</f>
        <v>34.560392</v>
      </c>
      <c r="G78" s="719">
        <f>SUM(G71:G77)</f>
        <v>16.440698000000001</v>
      </c>
      <c r="H78"/>
      <c r="I78"/>
      <c r="J78"/>
      <c r="K78" s="437"/>
      <c r="L78" s="437"/>
    </row>
    <row r="79" spans="3:12" s="186" customFormat="1" ht="15" customHeight="1">
      <c r="C79" s="716" t="str">
        <f>IF(Indice_index!$Z$1=1,"MC","MC")</f>
        <v>MC</v>
      </c>
      <c r="D79" s="712" t="str">
        <f>IF(Indice_index!$Z$1=1,"P010 - Cultura","P010 - Culture")</f>
        <v>P010 - Cultura</v>
      </c>
      <c r="E79" s="721" t="str">
        <f>IF(Indice_index!$Z$1=1,"001 - Serv. Gerais da A.P. - Administração geral","001 - General public services - General Administration")</f>
        <v>001 - Serv. Gerais da A.P. - Administração geral</v>
      </c>
      <c r="F79" s="715">
        <v>8.6223999999999995E-2</v>
      </c>
      <c r="G79" s="715">
        <v>8.6223999999999995E-2</v>
      </c>
      <c r="H79"/>
      <c r="I79"/>
      <c r="J79"/>
      <c r="K79" s="437"/>
      <c r="L79" s="437"/>
    </row>
    <row r="80" spans="3:12" s="186" customFormat="1" ht="15" customHeight="1">
      <c r="C80" s="716"/>
      <c r="D80" s="712"/>
      <c r="E80" s="713" t="str">
        <f>IF(Indice_index!$Z$1=1,"036 - Serviços culturais, recreativos e religiosos - Cultura","036 - Cultural, recreational and religious services - Culture")</f>
        <v>036 - Serviços culturais, recreativos e religiosos - Cultura</v>
      </c>
      <c r="F80" s="715">
        <v>33.237488999999997</v>
      </c>
      <c r="G80" s="715">
        <v>23.817534999999999</v>
      </c>
      <c r="H80"/>
      <c r="I80"/>
      <c r="J80"/>
      <c r="K80" s="437"/>
      <c r="L80" s="437"/>
    </row>
    <row r="81" spans="3:12" s="186" customFormat="1" ht="15" customHeight="1">
      <c r="C81" s="716"/>
      <c r="D81" s="680"/>
      <c r="E81" s="712" t="str">
        <f>D79</f>
        <v>P010 - Cultura</v>
      </c>
      <c r="F81" s="731">
        <f>SUM(F79:F80)</f>
        <v>33.323712999999998</v>
      </c>
      <c r="G81" s="731">
        <f>SUM(G79:G80)</f>
        <v>23.903759000000001</v>
      </c>
      <c r="H81"/>
      <c r="I81"/>
      <c r="J81"/>
      <c r="K81" s="437"/>
      <c r="L81" s="437"/>
    </row>
    <row r="82" spans="3:12" s="186" customFormat="1" ht="15" customHeight="1">
      <c r="C82" s="716"/>
      <c r="D82" s="723"/>
      <c r="E82" s="713" t="str">
        <f>IF(Indice_index!$Z$1=1,"P010 - Cultura, excluindo RTP","P010 - Culture, excluding RTP, the Portuguese public broadcaster")</f>
        <v>P010 - Cultura, excluindo RTP</v>
      </c>
      <c r="F82" s="719">
        <f>F81</f>
        <v>33.323712999999998</v>
      </c>
      <c r="G82" s="719">
        <f>G81</f>
        <v>23.903759000000001</v>
      </c>
      <c r="H82"/>
      <c r="I82"/>
      <c r="J82"/>
      <c r="K82" s="437"/>
      <c r="L82" s="437"/>
    </row>
    <row r="83" spans="3:12" s="186" customFormat="1" ht="15" customHeight="1">
      <c r="C83" s="716" t="str">
        <f>IF(Indice_index!$Z$1=1,"MCTES","MSHE")</f>
        <v>MCTES</v>
      </c>
      <c r="D83" s="732" t="str">
        <f>IF(Indice_index!$Z$1=1,"P011 - Ciência, Tecnologia e Ens. Superior","P011 - Science and Higher Education")</f>
        <v>P011 - Ciência, Tecnologia e Ens. Superior</v>
      </c>
      <c r="E83" s="713" t="str">
        <f>IF(Indice_index!$Z$1=1,"001 - Serv. Gerais da A.P. - Administração geral","001 - General public services - General Administration")</f>
        <v>001 - Serv. Gerais da A.P. - Administração geral</v>
      </c>
      <c r="F83" s="714">
        <v>0.61914499999999995</v>
      </c>
      <c r="G83" s="714">
        <v>0.62549500000000002</v>
      </c>
      <c r="H83"/>
      <c r="I83"/>
      <c r="J83"/>
      <c r="K83" s="437"/>
      <c r="L83" s="437"/>
    </row>
    <row r="84" spans="3:12" s="186" customFormat="1" ht="15" customHeight="1">
      <c r="C84" s="716"/>
      <c r="D84" s="733"/>
      <c r="E84" s="721" t="str">
        <f>IF(Indice_index!$Z$1=1,"004 - Serv. Gerais da A.P. - Investigação científica de carácter geral","004 - General public services - General scientific research")</f>
        <v>004 - Serv. Gerais da A.P. - Investigação científica de carácter geral</v>
      </c>
      <c r="F84" s="715">
        <v>0.65660799999999997</v>
      </c>
      <c r="G84" s="715">
        <v>0.65871256</v>
      </c>
      <c r="H84"/>
      <c r="I84"/>
      <c r="J84"/>
      <c r="K84" s="437"/>
      <c r="L84" s="437"/>
    </row>
    <row r="85" spans="3:12" s="186" customFormat="1" ht="15" customHeight="1">
      <c r="C85" s="716"/>
      <c r="D85" s="712"/>
      <c r="E85" s="721" t="str">
        <f>IF(Indice_index!$Z$1=1,"015 - Educação - Administração e regulamentação","015 - Education - Administration and regulations")</f>
        <v>015 - Educação - Administração e regulamentação</v>
      </c>
      <c r="F85" s="715">
        <v>0.56752499999999995</v>
      </c>
      <c r="G85" s="715">
        <v>0.21268489999999998</v>
      </c>
      <c r="H85"/>
      <c r="I85"/>
      <c r="J85"/>
      <c r="K85" s="437"/>
      <c r="L85" s="437"/>
    </row>
    <row r="86" spans="3:12" s="186" customFormat="1" ht="15" customHeight="1">
      <c r="C86" s="716"/>
      <c r="D86" s="712"/>
      <c r="E86" s="721" t="str">
        <f>IF(Indice_index!$Z$1=1,"016 - Educação – Investigação","016 - Education - Research")</f>
        <v>016 - Educação – Investigação</v>
      </c>
      <c r="F86" s="715">
        <v>6.0317000000000003E-2</v>
      </c>
      <c r="G86" s="715">
        <v>9.0142E-2</v>
      </c>
      <c r="H86"/>
      <c r="I86"/>
      <c r="J86"/>
      <c r="K86" s="437"/>
      <c r="L86" s="437"/>
    </row>
    <row r="87" spans="3:12" s="186" customFormat="1" ht="15" customHeight="1">
      <c r="C87" s="716"/>
      <c r="D87" s="712"/>
      <c r="E87" s="721" t="str">
        <f>IF(Indice_index!$Z$1=1,"019 - Educação - Serviços auxiliares de ensino","019 - Education - Educational ancillary services")</f>
        <v>019 - Educação - Serviços auxiliares de ensino</v>
      </c>
      <c r="F87" s="715">
        <v>8.0610000000000001E-2</v>
      </c>
      <c r="G87" s="715">
        <v>0</v>
      </c>
      <c r="H87"/>
      <c r="I87"/>
      <c r="J87"/>
      <c r="K87" s="437"/>
      <c r="L87" s="437"/>
    </row>
    <row r="88" spans="3:12" s="186" customFormat="1" ht="15" customHeight="1">
      <c r="C88" s="716"/>
      <c r="D88" s="680"/>
      <c r="E88" s="712" t="str">
        <f>D83</f>
        <v>P011 - Ciência, Tecnologia e Ens. Superior</v>
      </c>
      <c r="F88" s="734">
        <f>SUM(F83:F87)</f>
        <v>1.9842049999999998</v>
      </c>
      <c r="G88" s="734">
        <f>SUM(G83:G87)</f>
        <v>1.5870344599999999</v>
      </c>
      <c r="H88"/>
      <c r="I88"/>
      <c r="J88"/>
      <c r="K88" s="437"/>
      <c r="L88" s="437"/>
    </row>
    <row r="89" spans="3:12" s="186" customFormat="1" ht="15" customHeight="1">
      <c r="C89" s="716"/>
      <c r="D89" s="723"/>
      <c r="E89" s="713" t="str">
        <f>IF(Indice_index!$Z$1=1,"Instituições de Ensino Superior","Higher Education Institutions")</f>
        <v>Instituições de Ensino Superior</v>
      </c>
      <c r="F89" s="719">
        <v>0</v>
      </c>
      <c r="G89" s="719">
        <v>0</v>
      </c>
      <c r="H89"/>
      <c r="I89"/>
      <c r="J89"/>
      <c r="K89" s="437"/>
      <c r="L89" s="437"/>
    </row>
    <row r="90" spans="3:12" s="186" customFormat="1" ht="15" customHeight="1">
      <c r="C90" s="716" t="str">
        <f>IF(Indice_index!$Z$1=1,"MEd","MEd")</f>
        <v>MEd</v>
      </c>
      <c r="D90" s="732" t="str">
        <f>IF(Indice_index!$Z$1=1,"P012 - Ensino Básico e Secundário e Adm. Escolar","P012 - Basic and Secondary Education and School Administration")</f>
        <v>P012 - Ensino Básico e Secundário e Adm. Escolar</v>
      </c>
      <c r="E90" s="713" t="str">
        <f>IF(Indice_index!$Z$1=1,"003 - Serv. Gerais da A.P. - Cooperação económica externa","003 - General public services - External economic cooperation")</f>
        <v>003 - Serv. Gerais da A.P. - Cooperação económica externa</v>
      </c>
      <c r="F90" s="714">
        <v>1.6649620000000001</v>
      </c>
      <c r="G90" s="714">
        <v>0.78611200000000003</v>
      </c>
      <c r="H90"/>
      <c r="I90"/>
      <c r="J90"/>
      <c r="K90" s="437"/>
      <c r="L90" s="437"/>
    </row>
    <row r="91" spans="3:12" s="186" customFormat="1" ht="15" customHeight="1">
      <c r="C91" s="716"/>
      <c r="D91" s="733"/>
      <c r="E91" s="721" t="str">
        <f>IF(Indice_index!$Z$1=1,"015 - Educação - Administração e regulamentação","015 - Education - Administration and regulations")</f>
        <v>015 - Educação - Administração e regulamentação</v>
      </c>
      <c r="F91" s="715">
        <v>11.666751</v>
      </c>
      <c r="G91" s="715">
        <v>7.8201524999999998</v>
      </c>
      <c r="H91"/>
      <c r="I91"/>
      <c r="J91"/>
      <c r="K91" s="437"/>
      <c r="L91" s="437"/>
    </row>
    <row r="92" spans="3:12" s="186" customFormat="1" ht="15" customHeight="1">
      <c r="C92" s="716"/>
      <c r="D92" s="712"/>
      <c r="E92" s="721" t="str">
        <f>IF(Indice_index!$Z$1=1,"017 - Educação - Estabelecimentos de ensino não superior","017 - Education - Non higher educations institutions")</f>
        <v>017 - Educação - Estabelecimentos de ensino não superior</v>
      </c>
      <c r="F92" s="715">
        <v>10.340909</v>
      </c>
      <c r="G92" s="715">
        <v>2.1419800000000002</v>
      </c>
      <c r="H92"/>
      <c r="I92"/>
      <c r="J92"/>
      <c r="K92" s="437"/>
      <c r="L92" s="437"/>
    </row>
    <row r="93" spans="3:12" s="186" customFormat="1" ht="15" customHeight="1">
      <c r="C93" s="716"/>
      <c r="D93" s="712"/>
      <c r="E93" s="721" t="str">
        <f>IF(Indice_index!$Z$1=1,"019 - Educação - Serviços auxiliares de ensino","019 - Education - Educational ancillary services")</f>
        <v>019 - Educação - Serviços auxiliares de ensino</v>
      </c>
      <c r="F93" s="715">
        <v>2.8611219999999999</v>
      </c>
      <c r="G93" s="715">
        <v>2.8566690000000001</v>
      </c>
      <c r="H93"/>
      <c r="I93"/>
      <c r="J93"/>
      <c r="K93" s="437"/>
      <c r="L93" s="437"/>
    </row>
    <row r="94" spans="3:12" s="186" customFormat="1" ht="15" customHeight="1">
      <c r="C94" s="716"/>
      <c r="D94" s="680"/>
      <c r="E94" s="712" t="str">
        <f>D90</f>
        <v>P012 - Ensino Básico e Secundário e Adm. Escolar</v>
      </c>
      <c r="F94" s="731">
        <f>SUM(F90:F93)</f>
        <v>26.533743999999999</v>
      </c>
      <c r="G94" s="731">
        <f>SUM(G90:G93)</f>
        <v>13.6049135</v>
      </c>
      <c r="H94"/>
      <c r="I94"/>
      <c r="J94"/>
      <c r="K94" s="437"/>
      <c r="L94" s="437"/>
    </row>
    <row r="95" spans="3:12" s="186" customFormat="1" ht="15" customHeight="1">
      <c r="C95" s="716"/>
      <c r="D95" s="723"/>
      <c r="E95" s="713" t="str">
        <f>IF(Indice_index!$Z$1=1,"Estabelecimentos de Educação e Ensino Básico e Secundário","Education establishments and primary and secondary education")</f>
        <v>Estabelecimentos de Educação e Ensino Básico e Secundário</v>
      </c>
      <c r="F95" s="719">
        <v>0</v>
      </c>
      <c r="G95" s="719">
        <v>0</v>
      </c>
      <c r="H95"/>
      <c r="I95"/>
      <c r="J95"/>
      <c r="K95" s="437"/>
      <c r="L95" s="437"/>
    </row>
    <row r="96" spans="3:12" s="186" customFormat="1" ht="15" customHeight="1">
      <c r="C96" s="716" t="str">
        <f>IF(Indice_index!$Z$1=1,"MTSSS","MLSSF")</f>
        <v>MTSSS</v>
      </c>
      <c r="D96" s="732" t="str">
        <f>IF(Indice_index!$Z$1=1,"P013 - Trabalho, Solidariedade e Seg. Social","P013 - Work, Solidarity and Social Security")</f>
        <v>P013 - Trabalho, Solidariedade e Seg. Social</v>
      </c>
      <c r="E96" s="713" t="str">
        <f>IF(Indice_index!$Z$1=1,"001 - Serv. Gerais da A.P. - Administração geral","001 - General public services - General Administration")</f>
        <v>001 - Serv. Gerais da A.P. - Administração geral</v>
      </c>
      <c r="F96" s="714">
        <v>5.1045E-2</v>
      </c>
      <c r="G96" s="714">
        <v>5.1045E-2</v>
      </c>
      <c r="H96"/>
      <c r="I96"/>
      <c r="J96"/>
      <c r="K96" s="437"/>
      <c r="L96" s="437"/>
    </row>
    <row r="97" spans="3:12" s="186" customFormat="1" ht="15" customHeight="1">
      <c r="C97" s="716"/>
      <c r="D97" s="733"/>
      <c r="E97" s="721" t="str">
        <f>IF(Indice_index!$Z$1=1,"003 - Serv. Gerais da A.P. - Cooperação económica externa","003 - General public services - External economic cooperation")</f>
        <v>003 - Serv. Gerais da A.P. - Cooperação económica externa</v>
      </c>
      <c r="F97" s="715">
        <v>0.14216300000000001</v>
      </c>
      <c r="G97" s="715">
        <v>0.14216300000000001</v>
      </c>
      <c r="H97"/>
      <c r="I97"/>
      <c r="J97"/>
      <c r="K97" s="437"/>
      <c r="L97" s="437"/>
    </row>
    <row r="98" spans="3:12" s="186" customFormat="1" ht="15" customHeight="1">
      <c r="C98" s="716"/>
      <c r="D98" s="712"/>
      <c r="E98" s="721" t="str">
        <f>IF(Indice_index!$Z$1=1,"024 - Segurança e acção social - Administração e regulamentação","024 - Social Security and Action - Administration and regulations")</f>
        <v>024 - Segurança e acção social - Administração e regulamentação</v>
      </c>
      <c r="F98" s="715">
        <v>0.61098399999999997</v>
      </c>
      <c r="G98" s="715">
        <v>0.58744300000000005</v>
      </c>
      <c r="H98"/>
      <c r="I98"/>
      <c r="J98"/>
      <c r="K98" s="437"/>
      <c r="L98" s="437"/>
    </row>
    <row r="99" spans="3:12" s="186" customFormat="1" ht="15" customHeight="1">
      <c r="C99" s="716"/>
      <c r="D99" s="712"/>
      <c r="E99" s="721" t="str">
        <f>IF(Indice_index!$Z$1=1,"026 - Segurança e acção social - Segurança social","026 - Social Security and Action - Social Security")</f>
        <v>026 - Segurança e acção social - Segurança social</v>
      </c>
      <c r="F99" s="715">
        <v>10.675789999999999</v>
      </c>
      <c r="G99" s="715">
        <v>10.675789999999999</v>
      </c>
      <c r="H99"/>
      <c r="I99"/>
      <c r="J99"/>
      <c r="K99" s="437"/>
      <c r="L99" s="437"/>
    </row>
    <row r="100" spans="3:12" s="186" customFormat="1" ht="15" customHeight="1">
      <c r="C100" s="716"/>
      <c r="D100" s="712"/>
      <c r="E100" s="721" t="str">
        <f>IF(Indice_index!$Z$1=1,"027 - Segurança e acção social - Acção social","027 - Social Security and Action - Social Action")</f>
        <v>027 - Segurança e acção social - Acção social</v>
      </c>
      <c r="F100" s="715">
        <v>14.989535</v>
      </c>
      <c r="G100" s="715">
        <v>14.54758</v>
      </c>
      <c r="H100"/>
      <c r="I100"/>
      <c r="J100"/>
      <c r="K100" s="437"/>
      <c r="L100" s="437"/>
    </row>
    <row r="101" spans="3:12" s="186" customFormat="1" ht="15" customHeight="1">
      <c r="C101" s="716"/>
      <c r="D101" s="712"/>
      <c r="E101" s="721" t="str">
        <f>IF(Indice_index!$Z$1=1,"064 - Outras funções económicas - Relações gerais do trabalho","064 - Other economic functions - General labor relations")</f>
        <v>064 - Outras funções económicas - Relações gerais do trabalho</v>
      </c>
      <c r="F101" s="715">
        <v>18.022321999999999</v>
      </c>
      <c r="G101" s="715">
        <v>18.111163999999999</v>
      </c>
      <c r="H101"/>
      <c r="I101"/>
      <c r="J101"/>
      <c r="K101" s="437"/>
      <c r="L101" s="437"/>
    </row>
    <row r="102" spans="3:12" s="186" customFormat="1" ht="15" customHeight="1">
      <c r="C102" s="716"/>
      <c r="D102" s="712"/>
      <c r="E102" s="721" t="str">
        <f>IF(Indice_index!$Z$1=1,"065 - Outras funções económicas - Diversas não especificadas","065 - Other economic functions - Various unspecified")</f>
        <v>065 - Outras funções económicas - Diversas não especificadas</v>
      </c>
      <c r="F102" s="715">
        <v>7.3285000000000003E-2</v>
      </c>
      <c r="G102" s="715">
        <v>8.5379999999999998E-2</v>
      </c>
      <c r="H102"/>
      <c r="I102"/>
      <c r="J102"/>
      <c r="K102" s="437"/>
      <c r="L102" s="437"/>
    </row>
    <row r="103" spans="3:12" s="186" customFormat="1" ht="15" customHeight="1">
      <c r="C103" s="716"/>
      <c r="D103" s="712"/>
      <c r="E103" s="721" t="str">
        <f>IF(Indice_index!$Z$1=1,"083 - Segurança e Ação Social - Integração da pessoa com deficiência","083 - Social Security and Action - Integration of the handicapped person")</f>
        <v>083 - Segurança e Ação Social - Integração da pessoa com deficiência</v>
      </c>
      <c r="F103" s="715">
        <v>0.31229800000000002</v>
      </c>
      <c r="G103" s="715">
        <v>0.34753899999999999</v>
      </c>
      <c r="H103"/>
      <c r="I103"/>
      <c r="J103"/>
      <c r="K103" s="437"/>
      <c r="L103" s="437"/>
    </row>
    <row r="104" spans="3:12" s="186" customFormat="1" ht="15" customHeight="1">
      <c r="C104" s="716"/>
      <c r="D104" s="717"/>
      <c r="E104" s="723" t="str">
        <f>D96</f>
        <v>P013 - Trabalho, Solidariedade e Seg. Social</v>
      </c>
      <c r="F104" s="724">
        <f>SUM(F96:F103)</f>
        <v>44.877421999999996</v>
      </c>
      <c r="G104" s="724">
        <f>SUM(G96:G103)</f>
        <v>44.548103999999995</v>
      </c>
      <c r="H104"/>
      <c r="I104"/>
      <c r="J104"/>
      <c r="K104" s="437"/>
      <c r="L104" s="437"/>
    </row>
    <row r="105" spans="3:12" s="186" customFormat="1" ht="15" customHeight="1">
      <c r="C105" s="716" t="str">
        <f>IF(Indice_index!$Z$1=1,"MS","MH")</f>
        <v>MS</v>
      </c>
      <c r="D105" s="712" t="str">
        <f>IF(Indice_index!$Z$1=1,"P014 - Saúde","P014 - Health")</f>
        <v>P014 - Saúde</v>
      </c>
      <c r="E105" s="713" t="str">
        <f>IF(Indice_index!$Z$1=1,"020 - Saúde - Administração e regulamentação","020 - Health - Administration and regulations")</f>
        <v>020 - Saúde - Administração e regulamentação</v>
      </c>
      <c r="F105" s="714">
        <v>1.4578139999999999</v>
      </c>
      <c r="G105" s="714">
        <v>1.6872819999999999</v>
      </c>
      <c r="H105"/>
      <c r="I105"/>
      <c r="J105"/>
      <c r="K105" s="437"/>
      <c r="L105" s="437"/>
    </row>
    <row r="106" spans="3:12" s="186" customFormat="1" ht="15" customHeight="1">
      <c r="C106" s="716"/>
      <c r="D106" s="712"/>
      <c r="E106" s="713" t="str">
        <f>IF(Indice_index!$Z$1=1,"095 - Contingência Covid 2019 - Prevenção, contenção, mitigação e tratamento","095 - Covid 2019 Contingency - Prevention, Containment, Mitigation and Treatment")</f>
        <v>095 - Contingência Covid 2019 - Prevenção, contenção, mitigação e tratamento</v>
      </c>
      <c r="F106" s="714">
        <v>0</v>
      </c>
      <c r="G106" s="714">
        <v>2.1828E-2</v>
      </c>
      <c r="H106"/>
      <c r="I106"/>
      <c r="J106"/>
      <c r="K106" s="437"/>
      <c r="L106" s="437"/>
    </row>
    <row r="107" spans="3:12" s="186" customFormat="1" ht="15" customHeight="1">
      <c r="C107" s="716"/>
      <c r="D107" s="680"/>
      <c r="E107" s="712" t="str">
        <f>D105</f>
        <v>P014 - Saúde</v>
      </c>
      <c r="F107" s="731">
        <f>SUM(F105:F106)</f>
        <v>1.4578139999999999</v>
      </c>
      <c r="G107" s="731">
        <f>SUM(G105:G106)</f>
        <v>1.7091099999999999</v>
      </c>
      <c r="H107"/>
      <c r="I107"/>
      <c r="J107"/>
      <c r="K107" s="437"/>
      <c r="L107" s="437"/>
    </row>
    <row r="108" spans="3:12" s="186" customFormat="1" ht="15" customHeight="1">
      <c r="C108" s="716"/>
      <c r="D108" s="723"/>
      <c r="E108" s="713" t="str">
        <f>IF(Indice_index!$Z$1=1,"Serviço Nacional de Saúde","National Health Service")</f>
        <v>Serviço Nacional de Saúde</v>
      </c>
      <c r="F108" s="719">
        <v>0</v>
      </c>
      <c r="G108" s="719">
        <v>0</v>
      </c>
      <c r="H108"/>
      <c r="I108"/>
      <c r="J108"/>
      <c r="K108" s="437"/>
      <c r="L108" s="437"/>
    </row>
    <row r="109" spans="3:12" s="186" customFormat="1" ht="15" customHeight="1">
      <c r="C109" s="716" t="str">
        <f>IF(Indice_index!$Z$1=1,"MAAC","MECA")</f>
        <v>MAAC</v>
      </c>
      <c r="D109" s="716" t="str">
        <f>IF(Indice_index!$Z$1=1,"P015 - Ambiente e Ação Climática","P015 -  Environment and Climate Action")</f>
        <v>P015 - Ambiente e Ação Climática</v>
      </c>
      <c r="E109" s="721" t="str">
        <f>IF(Indice_index!$Z$1=1,"031 - Habitação e serv. Colectivos - Ordenamento do território","031 - Housing and Common services - Land-use")</f>
        <v>031 - Habitação e serv. Colectivos - Ordenamento do território</v>
      </c>
      <c r="F109" s="715">
        <v>0.14852299999999999</v>
      </c>
      <c r="G109" s="715">
        <v>0.14852299999999999</v>
      </c>
      <c r="H109"/>
      <c r="I109"/>
      <c r="J109"/>
      <c r="K109" s="437"/>
      <c r="L109" s="437"/>
    </row>
    <row r="110" spans="3:12" s="186" customFormat="1" ht="15" customHeight="1">
      <c r="C110" s="716"/>
      <c r="D110" s="712"/>
      <c r="E110" s="72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10" s="715">
        <v>9.7732690000000009</v>
      </c>
      <c r="G110" s="715">
        <v>12.135926</v>
      </c>
      <c r="H110"/>
      <c r="I110"/>
      <c r="J110"/>
      <c r="K110" s="437"/>
      <c r="L110" s="437"/>
    </row>
    <row r="111" spans="3:12" s="186" customFormat="1" ht="15" customHeight="1">
      <c r="C111" s="716"/>
      <c r="D111" s="712"/>
      <c r="E111" s="721" t="str">
        <f>IF(Indice_index!$Z$1=1,"046 - Industria e energia - administração e regulamentação","046 - Industry and energy - Administration and regulations")</f>
        <v>046 - Industria e energia - administração e regulamentação</v>
      </c>
      <c r="F111" s="715">
        <v>3.020235</v>
      </c>
      <c r="G111" s="715">
        <v>3.191452</v>
      </c>
      <c r="H111"/>
      <c r="I111"/>
      <c r="J111"/>
      <c r="K111" s="437"/>
      <c r="L111" s="437"/>
    </row>
    <row r="112" spans="3:12" s="186" customFormat="1" ht="15" customHeight="1">
      <c r="C112" s="716"/>
      <c r="D112" s="712"/>
      <c r="E112" s="721" t="str">
        <f>IF(Indice_index!$Z$1=1,"047 - Industria e energia - Investigação","047 - Industry and energy - Research")</f>
        <v>047 - Industria e energia - Investigação</v>
      </c>
      <c r="F112" s="715">
        <v>4.6479559999999998</v>
      </c>
      <c r="G112" s="715">
        <v>0.670906</v>
      </c>
      <c r="H112"/>
      <c r="I112"/>
      <c r="J112"/>
      <c r="K112" s="437"/>
      <c r="L112" s="437"/>
    </row>
    <row r="113" spans="3:12" s="186" customFormat="1" ht="15" customHeight="1">
      <c r="C113" s="716"/>
      <c r="D113" s="712"/>
      <c r="E113" s="721" t="str">
        <f>IF(Indice_index!$Z$1=1,"051 - Industria e energia - Combustíveis, electricidade e outras fontes de energia","051 - Industry e energy - Fuel, electricity and other sources of energy ")</f>
        <v>051 - Industria e energia - Combustíveis, electricidade e outras fontes de energia</v>
      </c>
      <c r="F113" s="715">
        <v>6.0097019999999999</v>
      </c>
      <c r="G113" s="715">
        <v>6.0097019999999999</v>
      </c>
      <c r="H113"/>
      <c r="I113"/>
      <c r="J113"/>
      <c r="K113" s="437"/>
      <c r="L113" s="437"/>
    </row>
    <row r="114" spans="3:12" s="186" customFormat="1" ht="15" customHeight="1">
      <c r="C114" s="716"/>
      <c r="D114" s="712"/>
      <c r="E114" s="721" t="str">
        <f>IF(Indice_index!$Z$1=1,"055 - Transportes e comunicações - Transportes ferroviários","055 - Transport and Communications - Rail transport")</f>
        <v>055 - Transportes e comunicações - Transportes ferroviários</v>
      </c>
      <c r="F114" s="715">
        <v>23.693591999999999</v>
      </c>
      <c r="G114" s="715">
        <v>10.473917999999999</v>
      </c>
      <c r="H114"/>
      <c r="I114"/>
      <c r="J114"/>
      <c r="K114" s="437"/>
      <c r="L114" s="437"/>
    </row>
    <row r="115" spans="3:12" s="186" customFormat="1" ht="15" customHeight="1">
      <c r="C115" s="716"/>
      <c r="D115" s="712"/>
      <c r="E115" s="721" t="str">
        <f>IF(Indice_index!$Z$1=1,"057 - Transportes e comunicações - Transportes marítimos e fluviais","057 - Transport and Communications - Water transport")</f>
        <v>057 - Transportes e comunicações - Transportes marítimos e fluviais</v>
      </c>
      <c r="F115" s="715">
        <v>7.4662829999999998</v>
      </c>
      <c r="G115" s="715">
        <v>0.15901399999999999</v>
      </c>
      <c r="H115"/>
      <c r="I115"/>
      <c r="J115"/>
      <c r="K115" s="437"/>
      <c r="L115" s="437"/>
    </row>
    <row r="116" spans="3:12" s="186" customFormat="1" ht="15" customHeight="1">
      <c r="C116" s="716"/>
      <c r="D116" s="712"/>
      <c r="E116" s="721" t="str">
        <f>IF(Indice_index!$Z$1=1,"063 - Outras funções económicas - Administração e regulamentação","063 - Outher economic functions - Administration e regulation")</f>
        <v>063 - Outras funções económicas - Administração e regulamentação</v>
      </c>
      <c r="F116" s="715">
        <v>3.0321440000000002</v>
      </c>
      <c r="G116" s="715">
        <v>3.4672830000000001</v>
      </c>
      <c r="H116"/>
      <c r="I116"/>
      <c r="J116"/>
      <c r="K116" s="437"/>
      <c r="L116" s="437"/>
    </row>
    <row r="117" spans="3:12" s="186" customFormat="1" ht="15" customHeight="1">
      <c r="C117" s="716"/>
      <c r="D117" s="712"/>
      <c r="E117" s="721" t="str">
        <f>IF(Indice_index!$Z$1=1,"065 - Outras funções económicas - Diversas não especificadas","065 - Other economic functions - Various unspecified")</f>
        <v>065 - Outras funções económicas - Diversas não especificadas</v>
      </c>
      <c r="F117" s="714">
        <v>3.297E-3</v>
      </c>
      <c r="G117" s="714">
        <v>3.297E-3</v>
      </c>
      <c r="H117"/>
      <c r="I117"/>
      <c r="J117"/>
      <c r="K117" s="437"/>
      <c r="L117" s="437"/>
    </row>
    <row r="118" spans="3:12" s="186" customFormat="1" ht="15" customHeight="1">
      <c r="C118" s="716"/>
      <c r="D118" s="712"/>
      <c r="E118" s="721" t="str">
        <f>IF(Indice_index!$Z$1=1,"085 - Florestas","085 - Forests")</f>
        <v>085 - Florestas</v>
      </c>
      <c r="F118" s="715">
        <v>0.83633199999999996</v>
      </c>
      <c r="G118" s="715">
        <v>1.270143</v>
      </c>
      <c r="H118"/>
      <c r="I118"/>
      <c r="J118"/>
      <c r="K118" s="437"/>
      <c r="L118" s="437"/>
    </row>
    <row r="119" spans="3:12" s="186" customFormat="1" ht="15" customHeight="1">
      <c r="C119" s="716"/>
      <c r="D119" s="712"/>
      <c r="E119" s="713" t="str">
        <f>IF(Indice_index!$Z$1=1,"101 - Plano Nacional de Gestão Integrada de Fogos Rurais","101 - National Plan on Integrated Rural Fire Management")</f>
        <v>101 - Plano Nacional de Gestão Integrada de Fogos Rurais</v>
      </c>
      <c r="F119" s="714">
        <v>1.6222000000000001</v>
      </c>
      <c r="G119" s="714">
        <v>1.9877469999999999</v>
      </c>
      <c r="H119"/>
      <c r="I119"/>
      <c r="J119"/>
      <c r="K119" s="437"/>
      <c r="L119" s="437"/>
    </row>
    <row r="120" spans="3:12" s="186" customFormat="1" ht="15" customHeight="1">
      <c r="C120" s="716"/>
      <c r="D120" s="717"/>
      <c r="E120" s="723" t="str">
        <f>D109</f>
        <v>P015 - Ambiente e Ação Climática</v>
      </c>
      <c r="F120" s="719">
        <f>SUM(F109:F119)</f>
        <v>60.253533000000004</v>
      </c>
      <c r="G120" s="719">
        <f>SUM(G109:G119)</f>
        <v>39.517910999999998</v>
      </c>
      <c r="H120"/>
      <c r="I120"/>
      <c r="J120"/>
      <c r="K120" s="437"/>
      <c r="L120" s="437"/>
    </row>
    <row r="121" spans="3:12" s="186" customFormat="1" ht="15" customHeight="1">
      <c r="C121" s="716" t="str">
        <f>IF(Indice_index!$Z$1=1,"MIH","MIH")</f>
        <v>MIH</v>
      </c>
      <c r="D121" s="712" t="str">
        <f>IF(Indice_index!$Z$1=1,"P016 - Infraestruturas e Habitação","P016 - Infrastructures and Housing")</f>
        <v>P016 - Infraestruturas e Habitação</v>
      </c>
      <c r="E121" s="713" t="str">
        <f>IF(Indice_index!$Z$1=1,"001 - Serv. Gerais da A.P. - Administração geral","001 - General public services - General Administration")</f>
        <v>001 - Serv. Gerais da A.P. - Administração geral</v>
      </c>
      <c r="F121" s="714">
        <v>0.72316499999999995</v>
      </c>
      <c r="G121" s="714">
        <v>0.55816500000000002</v>
      </c>
      <c r="H121"/>
      <c r="I121"/>
      <c r="J121"/>
      <c r="K121" s="437"/>
      <c r="L121" s="437"/>
    </row>
    <row r="122" spans="3:12" s="186" customFormat="1" ht="15" customHeight="1">
      <c r="C122" s="716"/>
      <c r="D122" s="712"/>
      <c r="E122" s="721" t="str">
        <f>IF(Indice_index!$Z$1=1,"004 - Serv. Gerais da A.P. - Investigação científica de carácter geral","004 - General public services - General scientific research")</f>
        <v>004 - Serv. Gerais da A.P. - Investigação científica de carácter geral</v>
      </c>
      <c r="F122" s="715">
        <v>6.25E-2</v>
      </c>
      <c r="G122" s="715">
        <v>6.25E-2</v>
      </c>
      <c r="H122"/>
      <c r="I122"/>
      <c r="J122"/>
      <c r="K122" s="437"/>
      <c r="L122" s="437"/>
    </row>
    <row r="123" spans="3:12" s="186" customFormat="1" ht="15" customHeight="1">
      <c r="C123" s="716"/>
      <c r="D123" s="712"/>
      <c r="E123" s="721" t="str">
        <f>IF(Indice_index!$Z$1=1,"030 - Habitação e serv. Colectivos - Habitação","030 - Housing and Common services - Housing")</f>
        <v>030 - Habitação e serv. Colectivos - Habitação</v>
      </c>
      <c r="F123" s="715">
        <v>5.7537459999999996</v>
      </c>
      <c r="G123" s="715">
        <v>5.8852130000000002</v>
      </c>
      <c r="H123"/>
      <c r="I123"/>
      <c r="J123"/>
      <c r="K123" s="437"/>
      <c r="L123" s="437"/>
    </row>
    <row r="124" spans="3:12" s="186" customFormat="1" ht="15" customHeight="1">
      <c r="C124" s="716"/>
      <c r="D124" s="712"/>
      <c r="E124" s="721" t="str">
        <f>IF(Indice_index!$Z$1=1,"052 - Transportes e comunicações - Administração e regulamentação","052 - Transport and Communications - Administration and regulations")</f>
        <v>052 - Transportes e comunicações - Administração e regulamentação</v>
      </c>
      <c r="F124" s="715">
        <v>16.186523000000001</v>
      </c>
      <c r="G124" s="715">
        <v>15.740427</v>
      </c>
      <c r="H124"/>
      <c r="I124"/>
      <c r="J124"/>
      <c r="K124" s="437"/>
      <c r="L124" s="437"/>
    </row>
    <row r="125" spans="3:12" s="186" customFormat="1" ht="15" customHeight="1">
      <c r="C125" s="716"/>
      <c r="D125" s="712"/>
      <c r="E125" s="721" t="str">
        <f>IF(Indice_index!$Z$1=1,"054 - Transportes e comunicações - Transportes rodoviários","054 - Transport and Communications - Road transport")</f>
        <v>054 - Transportes e comunicações - Transportes rodoviários</v>
      </c>
      <c r="F125" s="715">
        <v>3.2971849999999998</v>
      </c>
      <c r="G125" s="715">
        <v>3.2971849999999998</v>
      </c>
      <c r="H125"/>
      <c r="I125"/>
      <c r="J125"/>
      <c r="K125" s="437"/>
      <c r="L125" s="437"/>
    </row>
    <row r="126" spans="3:12" s="186" customFormat="1" ht="15" customHeight="1">
      <c r="C126" s="716"/>
      <c r="D126" s="712"/>
      <c r="E126" s="721" t="str">
        <f>IF(Indice_index!$Z$1=1,"055 - Transportes e comunicações - Transportes ferroviários","055 - Transport and Communications - Rail transport")</f>
        <v>055 - Transportes e comunicações - Transportes ferroviários</v>
      </c>
      <c r="F126" s="715">
        <v>59.566637</v>
      </c>
      <c r="G126" s="715">
        <v>12.203916</v>
      </c>
      <c r="H126"/>
      <c r="I126"/>
      <c r="J126"/>
      <c r="K126" s="437"/>
      <c r="L126" s="437"/>
    </row>
    <row r="127" spans="3:12" s="186" customFormat="1" ht="15" customHeight="1">
      <c r="C127" s="716"/>
      <c r="D127" s="712"/>
      <c r="E127" s="721" t="str">
        <f>IF(Indice_index!$Z$1=1,"056 - Transportes e comunicações - Transportes aéreos","056 - Transport and Communications - Air transport")</f>
        <v>056 - Transportes e comunicações - Transportes aéreos</v>
      </c>
      <c r="F127" s="715">
        <v>1.465122</v>
      </c>
      <c r="G127" s="715">
        <v>1.465122</v>
      </c>
      <c r="H127"/>
      <c r="I127"/>
      <c r="J127"/>
      <c r="K127" s="437"/>
      <c r="L127" s="437"/>
    </row>
    <row r="128" spans="3:12" s="186" customFormat="1" ht="15" customHeight="1">
      <c r="C128" s="716"/>
      <c r="D128" s="712"/>
      <c r="E128" s="721" t="str">
        <f>IF(Indice_index!$Z$1=1,"063 - Outras funções económicas - Administração e regulamentação","063 - Outher economic functions - Administration e regulation")</f>
        <v>063 - Outras funções económicas - Administração e regulamentação</v>
      </c>
      <c r="F128" s="715">
        <v>1.282063</v>
      </c>
      <c r="G128" s="715">
        <v>1.313164</v>
      </c>
      <c r="H128"/>
      <c r="I128"/>
      <c r="J128"/>
      <c r="K128" s="437"/>
      <c r="L128" s="437"/>
    </row>
    <row r="129" spans="3:12" s="186" customFormat="1" ht="15" customHeight="1">
      <c r="C129" s="716"/>
      <c r="D129" s="712"/>
      <c r="E129" s="721" t="str">
        <f>IF(Indice_index!$Z$1=1,"101 - Plano Nacional de Gestão Integrada de Fogos Rurais","101 - National Plan on Integrated Rural Fire Management")</f>
        <v>101 - Plano Nacional de Gestão Integrada de Fogos Rurais</v>
      </c>
      <c r="F129" s="715">
        <v>17.908571999999999</v>
      </c>
      <c r="G129" s="715">
        <v>0</v>
      </c>
      <c r="H129"/>
      <c r="I129"/>
      <c r="J129"/>
      <c r="K129" s="437"/>
      <c r="L129" s="437"/>
    </row>
    <row r="130" spans="3:12" s="186" customFormat="1" ht="15" customHeight="1">
      <c r="C130" s="716"/>
      <c r="D130" s="717"/>
      <c r="E130" s="723" t="str">
        <f>D121</f>
        <v>P016 - Infraestruturas e Habitação</v>
      </c>
      <c r="F130" s="724">
        <f>SUM(F121:F129)</f>
        <v>106.24551299999999</v>
      </c>
      <c r="G130" s="724">
        <f>SUM(G121:G129)</f>
        <v>40.525691999999999</v>
      </c>
      <c r="H130"/>
      <c r="I130"/>
      <c r="J130"/>
      <c r="K130" s="437"/>
      <c r="L130" s="437"/>
    </row>
    <row r="131" spans="3:12" s="186" customFormat="1" ht="15" customHeight="1">
      <c r="C131" s="716" t="str">
        <f>IF(Indice_index!$Z$1=1,"MAA","MAA")</f>
        <v>MAA</v>
      </c>
      <c r="D131" s="712" t="str">
        <f>IF(Indice_index!$Z$1=1,"P017 - Agricultura e Alimentação","P017 - Agriculture and Food")</f>
        <v>P017 - Agricultura e Alimentação</v>
      </c>
      <c r="E131" s="721" t="str">
        <f>IF(Indice_index!$Z$1=1,"004 - Serv. Gerais da A.P. - Investigação científica de carácter geral","004 - General public services - General scientific research")</f>
        <v>004 - Serv. Gerais da A.P. - Investigação científica de carácter geral</v>
      </c>
      <c r="F131" s="715">
        <v>5.6039999999999996E-3</v>
      </c>
      <c r="G131" s="715">
        <v>5.6039999999999996E-3</v>
      </c>
      <c r="H131"/>
      <c r="I131"/>
      <c r="J131"/>
      <c r="K131" s="437"/>
      <c r="L131" s="437"/>
    </row>
    <row r="132" spans="3:12" s="186" customFormat="1" ht="15" customHeight="1">
      <c r="C132" s="716"/>
      <c r="D132" s="712"/>
      <c r="E132" s="721" t="str">
        <f>IF(Indice_index!$Z$1=1,"040 - Agricultura, pecuária, silv, caça, pesca - Administração e regulamentação","040 - Crops, livestock, forestry, fisheries - Administration and regulations")</f>
        <v>040 - Agricultura, pecuária, silv, caça, pesca - Administração e regulamentação</v>
      </c>
      <c r="F132" s="715">
        <v>5.3995670000000002</v>
      </c>
      <c r="G132" s="715">
        <v>4.6553389999999997</v>
      </c>
      <c r="H132"/>
      <c r="I132"/>
      <c r="J132"/>
      <c r="K132" s="437"/>
      <c r="L132" s="437"/>
    </row>
    <row r="133" spans="3:12" s="186" customFormat="1" ht="15" customHeight="1">
      <c r="C133" s="716"/>
      <c r="D133" s="712"/>
      <c r="E133" s="721" t="str">
        <f>IF(Indice_index!$Z$1=1,"041 - Agricultura, pecuária, silv, caça, pesca - Investigação","041 - Crops, livestock, forestry, fisheries - Research")</f>
        <v>041 - Agricultura, pecuária, silv, caça, pesca - Investigação</v>
      </c>
      <c r="F133" s="715">
        <v>3.7187999999999999E-2</v>
      </c>
      <c r="G133" s="715">
        <v>3.7187999999999999E-2</v>
      </c>
      <c r="H133"/>
      <c r="I133"/>
      <c r="J133"/>
      <c r="K133" s="437"/>
      <c r="L133" s="437"/>
    </row>
    <row r="134" spans="3:12" s="186" customFormat="1" ht="15" customHeight="1">
      <c r="C134" s="716"/>
      <c r="D134" s="712"/>
      <c r="E134" s="721" t="str">
        <f>IF(Indice_index!$Z$1=1,"042 - Agricultura, pecuária, silv, caça, pesca - Agricultura e pecuária","042 - Crops, livestock, forestry, fisheries - Crops and livestock")</f>
        <v>042 - Agricultura, pecuária, silv, caça, pesca - Agricultura e pecuária</v>
      </c>
      <c r="F134" s="715">
        <v>22.480436000000001</v>
      </c>
      <c r="G134" s="715">
        <v>15.936935</v>
      </c>
      <c r="H134"/>
      <c r="I134"/>
      <c r="J134"/>
      <c r="K134" s="437"/>
      <c r="L134" s="437"/>
    </row>
    <row r="135" spans="3:12" s="186" customFormat="1" ht="15" customHeight="1">
      <c r="C135" s="716"/>
      <c r="D135" s="712"/>
      <c r="E135" s="721" t="str">
        <f>IF(Indice_index!$Z$1=1,"045 - Agricultura, pecuária, silv, caça, pesca – Pesca","045 - Crops, livestock, forestry, fisheries – Fisheries")</f>
        <v>045 - Agricultura, pecuária, silv, caça, pesca – Pesca</v>
      </c>
      <c r="F135" s="715">
        <v>0.89322400000000002</v>
      </c>
      <c r="G135" s="715">
        <v>0.94079400000000002</v>
      </c>
      <c r="H135"/>
      <c r="I135"/>
      <c r="J135"/>
      <c r="K135" s="437"/>
      <c r="L135" s="437"/>
    </row>
    <row r="136" spans="3:12" s="186" customFormat="1" ht="15" customHeight="1">
      <c r="C136" s="716"/>
      <c r="D136" s="712"/>
      <c r="E136" s="721" t="str">
        <f>IF(Indice_index!$Z$1=1,"057 - Transportes e comunicações - Transportes marítimos e fluviais","057 - Transport and Communications - Water transport")</f>
        <v>057 - Transportes e comunicações - Transportes marítimos e fluviais</v>
      </c>
      <c r="F136" s="715">
        <v>1.1897880000000001</v>
      </c>
      <c r="G136" s="715">
        <v>1.2520690000000001</v>
      </c>
      <c r="H136"/>
      <c r="I136"/>
      <c r="J136"/>
      <c r="K136" s="437"/>
      <c r="L136" s="437"/>
    </row>
    <row r="137" spans="3:12" s="186" customFormat="1" ht="15" customHeight="1" thickBot="1">
      <c r="C137" s="716"/>
      <c r="D137" s="717"/>
      <c r="E137" s="723" t="str">
        <f>D131</f>
        <v>P017 - Agricultura e Alimentação</v>
      </c>
      <c r="F137" s="719">
        <f>SUM(F131:F136)</f>
        <v>30.005807000000001</v>
      </c>
      <c r="G137" s="719">
        <f>SUM(G131:G136)</f>
        <v>22.827929000000001</v>
      </c>
      <c r="H137"/>
      <c r="I137"/>
      <c r="J137"/>
      <c r="K137" s="437"/>
      <c r="L137" s="437"/>
    </row>
    <row r="138" spans="3:12" s="186" customFormat="1" ht="15" customHeight="1" thickBot="1">
      <c r="C138" s="1811" t="str">
        <f>IF(Indice_index!$Z$1=1,"TOTAL Cativos","TOTAL frozen allocations")</f>
        <v>TOTAL Cativos</v>
      </c>
      <c r="D138" s="1812"/>
      <c r="E138" s="1812"/>
      <c r="F138" s="735">
        <f>F27+F137+F120+F78+F130+F107+F104+F94+F88+F81+F65+F56+F43+F70+F69+F31+F11</f>
        <v>654.92139399999996</v>
      </c>
      <c r="G138" s="735">
        <f>G27+G137+G120+G78+G130+G107+G104+G94+G88+G81+G65+G56+G43+G70+G69+G31+G11</f>
        <v>403.86298345999995</v>
      </c>
      <c r="H138" s="437"/>
      <c r="I138" s="437"/>
      <c r="J138" s="437"/>
      <c r="K138" s="437"/>
      <c r="L138" s="437"/>
    </row>
    <row r="139" spans="3:12" s="186" customFormat="1" ht="15.75" customHeight="1">
      <c r="C139" s="246"/>
      <c r="D139" s="246"/>
      <c r="E139" s="246"/>
      <c r="F139" s="246"/>
      <c r="H139"/>
      <c r="I139"/>
      <c r="J139"/>
    </row>
    <row r="140" spans="3:12" s="186" customFormat="1" ht="19.5" thickBot="1">
      <c r="C140" s="1816" t="str">
        <f>IF(Indice_index!$Z$1=1,"Reserva","Reserve")</f>
        <v>Reserva</v>
      </c>
      <c r="D140" s="1816"/>
      <c r="E140" s="1816"/>
      <c r="F140" s="1816"/>
      <c r="G140" s="1816"/>
      <c r="H140"/>
      <c r="I140"/>
      <c r="J140"/>
    </row>
    <row r="141" spans="3:12" s="186" customFormat="1">
      <c r="C141" s="705"/>
      <c r="D141" s="705"/>
      <c r="E141" s="705"/>
      <c r="F141" s="736"/>
      <c r="H141"/>
      <c r="I141"/>
      <c r="J141"/>
    </row>
    <row r="142" spans="3:12" s="186" customFormat="1">
      <c r="C142" s="704" t="str">
        <f>C4</f>
        <v>Período: novembro</v>
      </c>
      <c r="D142" s="705"/>
      <c r="E142" s="705"/>
      <c r="F142" s="707"/>
      <c r="G142" s="707" t="str">
        <f>IF(Indice_index!$Z$1=1,"€ Milhões","€ Millions")</f>
        <v>€ Milhões</v>
      </c>
      <c r="H142"/>
      <c r="I142"/>
      <c r="J142"/>
    </row>
    <row r="143" spans="3:12" s="186" customFormat="1">
      <c r="C143" s="1808" t="str">
        <f>IF(Indice_index!$Z$1=1,"Ministério","Ministry")</f>
        <v>Ministério</v>
      </c>
      <c r="D143" s="1808" t="str">
        <f>IF(Indice_index!$Z$1=1,"Programa Orçamental","Budgetary program")</f>
        <v>Programa Orçamental</v>
      </c>
      <c r="E143" s="1808" t="str">
        <f>IF(Indice_index!$Z$1=1,"Reserva","Reserve")</f>
        <v>Reserva</v>
      </c>
      <c r="F143" s="1813"/>
      <c r="G143" s="1813"/>
      <c r="H143"/>
      <c r="I143"/>
      <c r="J143"/>
    </row>
    <row r="144" spans="3:12" s="186" customFormat="1" ht="20.25" customHeight="1">
      <c r="C144" s="1809"/>
      <c r="D144" s="1809"/>
      <c r="E144" s="1809"/>
      <c r="F144" s="708" t="str">
        <f>IF(Indice_index!$Z$1=1,"Cativos iniciais","Initial frozen allocations")</f>
        <v>Cativos iniciais</v>
      </c>
      <c r="G144" s="709" t="str">
        <f>IF(Indice_index!$Z$1=1,"Cativos atuais","Current frozen allocations")</f>
        <v>Cativos atuais</v>
      </c>
      <c r="H144"/>
      <c r="I144"/>
      <c r="J144"/>
    </row>
    <row r="145" spans="3:11">
      <c r="C145" s="1810"/>
      <c r="D145" s="1810"/>
      <c r="E145" s="1810"/>
      <c r="F145" s="737" t="s">
        <v>65</v>
      </c>
      <c r="G145" s="738" t="s">
        <v>64</v>
      </c>
      <c r="K145" s="186"/>
    </row>
    <row r="146" spans="3:11" ht="15" customHeight="1">
      <c r="C146" s="739" t="str">
        <f>+C8</f>
        <v>EGE</v>
      </c>
      <c r="D146" s="739" t="str">
        <f>+D8</f>
        <v>P001 - Órgãos de Soberania</v>
      </c>
      <c r="E146" s="740" t="str">
        <f>IF(Indice_index!$Z$1=1,"Reserva Orçamental","Reserve")</f>
        <v>Reserva Orçamental</v>
      </c>
      <c r="F146" s="741">
        <v>5.1363849999999998</v>
      </c>
      <c r="G146" s="741">
        <v>1.917943</v>
      </c>
    </row>
    <row r="147" spans="3:11" ht="15" customHeight="1">
      <c r="C147" s="742" t="str">
        <f>+C12</f>
        <v>PCM</v>
      </c>
      <c r="D147" s="742" t="str">
        <f>+D12</f>
        <v>P002 - Governação</v>
      </c>
      <c r="E147" s="743" t="str">
        <f>IF(Indice_index!$Z$1=1,"Reserva Orçamental","Reserve")</f>
        <v>Reserva Orçamental</v>
      </c>
      <c r="F147" s="744">
        <v>5.2600290000000003</v>
      </c>
      <c r="G147" s="744">
        <v>4.9828770000000002</v>
      </c>
    </row>
    <row r="148" spans="3:11" ht="15" customHeight="1">
      <c r="C148" s="742" t="str">
        <f>+C21</f>
        <v>MCT</v>
      </c>
      <c r="D148" s="742" t="str">
        <f>+D21</f>
        <v>P002 - Governação</v>
      </c>
      <c r="E148" s="743" t="str">
        <f>IF(Indice_index!$Z$1=1,"Reserva Orçamental","Reserve")</f>
        <v>Reserva Orçamental</v>
      </c>
      <c r="F148" s="744">
        <v>1.443878</v>
      </c>
      <c r="G148" s="744">
        <v>1.443878</v>
      </c>
    </row>
    <row r="149" spans="3:11" ht="15" customHeight="1">
      <c r="C149" s="742" t="str">
        <f>+C28</f>
        <v>MNE</v>
      </c>
      <c r="D149" s="742" t="str">
        <f>+D28</f>
        <v>P003 - Representação Externa</v>
      </c>
      <c r="E149" s="743" t="str">
        <f>IF(Indice_index!$Z$1=1,"Reserva Orçamental","Reserve")</f>
        <v>Reserva Orçamental</v>
      </c>
      <c r="F149" s="744">
        <v>7.8777249999999999</v>
      </c>
      <c r="G149" s="744">
        <v>3.3777249999999999</v>
      </c>
    </row>
    <row r="150" spans="3:11" ht="15" customHeight="1">
      <c r="C150" s="742" t="str">
        <f>+C32</f>
        <v>MDN</v>
      </c>
      <c r="D150" s="742" t="str">
        <f>+D32</f>
        <v>P004 - Defesa</v>
      </c>
      <c r="E150" s="743" t="str">
        <f>IF(Indice_index!$Z$1=1,"Reserva Orçamental","Reserve")</f>
        <v>Reserva Orçamental</v>
      </c>
      <c r="F150" s="744">
        <v>22.731487000000001</v>
      </c>
      <c r="G150" s="744">
        <v>12.440284</v>
      </c>
    </row>
    <row r="151" spans="3:11" ht="15" customHeight="1">
      <c r="C151" s="742" t="str">
        <f>+C44</f>
        <v>MAI</v>
      </c>
      <c r="D151" s="742" t="str">
        <f>+D44</f>
        <v>P005 - Segurança Interna</v>
      </c>
      <c r="E151" s="743" t="str">
        <f>IF(Indice_index!$Z$1=1,"Reserva Orçamental","Reserve")</f>
        <v>Reserva Orçamental</v>
      </c>
      <c r="F151" s="744">
        <v>45.908163999999999</v>
      </c>
      <c r="G151" s="744">
        <v>8.8805980000000009</v>
      </c>
    </row>
    <row r="152" spans="3:11" ht="15" customHeight="1">
      <c r="C152" s="742" t="str">
        <f>+C57</f>
        <v>MJ</v>
      </c>
      <c r="D152" s="742" t="str">
        <f>+D57</f>
        <v>P006 - Justiça</v>
      </c>
      <c r="E152" s="743" t="str">
        <f>IF(Indice_index!$Z$1=1,"Reserva Orçamental","Reserve")</f>
        <v>Reserva Orçamental</v>
      </c>
      <c r="F152" s="744">
        <v>35.970484999999996</v>
      </c>
      <c r="G152" s="744">
        <v>17.892859000000001</v>
      </c>
    </row>
    <row r="153" spans="3:11" ht="15" customHeight="1">
      <c r="C153" s="742" t="str">
        <f>+C66</f>
        <v>MF</v>
      </c>
      <c r="D153" s="742" t="str">
        <f>+D66</f>
        <v>P007 - Finanças</v>
      </c>
      <c r="E153" s="743" t="str">
        <f>IF(Indice_index!$Z$1=1,"Reserva Orçamental","Reserve")</f>
        <v>Reserva Orçamental</v>
      </c>
      <c r="F153" s="744">
        <v>37.062869999999997</v>
      </c>
      <c r="G153" s="744">
        <v>22.143234</v>
      </c>
    </row>
    <row r="154" spans="3:11" ht="15" customHeight="1">
      <c r="C154" s="742" t="str">
        <f>+C71</f>
        <v>MEM</v>
      </c>
      <c r="D154" s="742" t="str">
        <f>+D71</f>
        <v>P009 - Economia e Mar</v>
      </c>
      <c r="E154" s="743" t="str">
        <f>IF(Indice_index!$Z$1=1,"Reserva Orçamental","Reserve")</f>
        <v>Reserva Orçamental</v>
      </c>
      <c r="F154" s="744">
        <v>25.830869</v>
      </c>
      <c r="G154" s="744">
        <v>25.143395000000002</v>
      </c>
    </row>
    <row r="155" spans="3:11" ht="15" customHeight="1">
      <c r="C155" s="742" t="str">
        <f>+C79</f>
        <v>MC</v>
      </c>
      <c r="D155" s="742" t="str">
        <f>+D79</f>
        <v>P010 - Cultura</v>
      </c>
      <c r="E155" s="743" t="str">
        <f>IF(Indice_index!$Z$1=1,"Reserva Orçamental","Reserve")</f>
        <v>Reserva Orçamental</v>
      </c>
      <c r="F155" s="744">
        <v>6.3398630000000002</v>
      </c>
      <c r="G155" s="744">
        <v>6.2942229999999997</v>
      </c>
    </row>
    <row r="156" spans="3:11" s="414" customFormat="1" ht="15" customHeight="1">
      <c r="C156" s="745" t="str">
        <f>+C83</f>
        <v>MCTES</v>
      </c>
      <c r="D156" s="745" t="str">
        <f>+D83</f>
        <v>P011 - Ciência, Tecnologia e Ens. Superior</v>
      </c>
      <c r="E156" s="746" t="str">
        <f>IF(Indice_index!$Z$1=1,"Reserva Orçamental","Reserve")</f>
        <v>Reserva Orçamental</v>
      </c>
      <c r="F156" s="744">
        <v>11.055078</v>
      </c>
      <c r="G156" s="744">
        <v>6.8739999999999999E-3</v>
      </c>
      <c r="H156"/>
      <c r="I156"/>
      <c r="J156"/>
      <c r="K156" s="184"/>
    </row>
    <row r="157" spans="3:11" ht="15" customHeight="1">
      <c r="C157" s="742" t="str">
        <f>+C90</f>
        <v>MEd</v>
      </c>
      <c r="D157" s="742" t="str">
        <f>+D90</f>
        <v>P012 - Ensino Básico e Secundário e Adm. Escolar</v>
      </c>
      <c r="E157" s="743" t="str">
        <f>IF(Indice_index!$Z$1=1,"Reserva Orçamental","Reserve")</f>
        <v>Reserva Orçamental</v>
      </c>
      <c r="F157" s="744">
        <v>3.2181950000000001</v>
      </c>
      <c r="G157" s="744">
        <v>3.2181950000000001</v>
      </c>
      <c r="K157" s="414"/>
    </row>
    <row r="158" spans="3:11" ht="15" customHeight="1">
      <c r="C158" s="742" t="str">
        <f>+C96</f>
        <v>MTSSS</v>
      </c>
      <c r="D158" s="742" t="str">
        <f>+D96</f>
        <v>P013 - Trabalho, Solidariedade e Seg. Social</v>
      </c>
      <c r="E158" s="743" t="str">
        <f>IF(Indice_index!$Z$1=1,"Reserva Orçamental","Reserve")</f>
        <v>Reserva Orçamental</v>
      </c>
      <c r="F158" s="744">
        <v>25.781593000000001</v>
      </c>
      <c r="G158" s="744">
        <v>25.779648999999999</v>
      </c>
    </row>
    <row r="159" spans="3:11" ht="15" customHeight="1">
      <c r="C159" s="742" t="str">
        <f>+C105</f>
        <v>MS</v>
      </c>
      <c r="D159" s="742" t="str">
        <f>+D105</f>
        <v>P014 - Saúde</v>
      </c>
      <c r="E159" s="743" t="str">
        <f>IF(Indice_index!$Z$1=1,"Reserva Orçamental","Reserve")</f>
        <v>Reserva Orçamental</v>
      </c>
      <c r="F159" s="744">
        <v>1.614336</v>
      </c>
      <c r="G159" s="744">
        <v>1.614336</v>
      </c>
    </row>
    <row r="160" spans="3:11" ht="15" customHeight="1">
      <c r="C160" s="742" t="str">
        <f>+C109</f>
        <v>MAAC</v>
      </c>
      <c r="D160" s="742" t="str">
        <f>+D109</f>
        <v>P015 - Ambiente e Ação Climática</v>
      </c>
      <c r="E160" s="743" t="str">
        <f>IF(Indice_index!$Z$1=1,"Reserva Orçamental","Reserve")</f>
        <v>Reserva Orçamental</v>
      </c>
      <c r="F160" s="744">
        <v>29.751135999999999</v>
      </c>
      <c r="G160" s="744">
        <v>29.364346999999999</v>
      </c>
    </row>
    <row r="161" spans="3:11" ht="15" customHeight="1">
      <c r="C161" s="742" t="str">
        <f>+C121</f>
        <v>MIH</v>
      </c>
      <c r="D161" s="742" t="str">
        <f>+D121</f>
        <v>P016 - Infraestruturas e Habitação</v>
      </c>
      <c r="E161" s="743" t="str">
        <f>IF(Indice_index!$Z$1=1,"Reserva Orçamental","Reserve")</f>
        <v>Reserva Orçamental</v>
      </c>
      <c r="F161" s="744">
        <v>85.569934000000003</v>
      </c>
      <c r="G161" s="744">
        <v>10.953405999999999</v>
      </c>
    </row>
    <row r="162" spans="3:11" ht="15" customHeight="1" thickBot="1">
      <c r="C162" s="747" t="str">
        <f>+C131</f>
        <v>MAA</v>
      </c>
      <c r="D162" s="747" t="str">
        <f>+D131</f>
        <v>P017 - Agricultura e Alimentação</v>
      </c>
      <c r="E162" s="748" t="str">
        <f>IF(Indice_index!$Z$1=1,"Reserva Orçamental","Reserve")</f>
        <v>Reserva Orçamental</v>
      </c>
      <c r="F162" s="749">
        <v>11.141745999999999</v>
      </c>
      <c r="G162" s="749">
        <v>3.550557</v>
      </c>
    </row>
    <row r="163" spans="3:11" ht="15" customHeight="1" thickBot="1">
      <c r="C163" s="1811" t="s">
        <v>63</v>
      </c>
      <c r="D163" s="1812"/>
      <c r="E163" s="1812"/>
      <c r="F163" s="750">
        <f>SUM(F146:F162)</f>
        <v>361.69377300000002</v>
      </c>
      <c r="G163" s="751">
        <f>SUM(G146:G162)</f>
        <v>179.00438</v>
      </c>
      <c r="H163" s="437"/>
      <c r="I163" s="437"/>
      <c r="J163" s="681"/>
      <c r="K163" s="682"/>
    </row>
    <row r="164" spans="3:11" ht="4.5" customHeight="1" thickBot="1">
      <c r="C164" s="752"/>
      <c r="D164" s="753"/>
      <c r="E164" s="753"/>
      <c r="F164" s="754"/>
      <c r="G164" s="755"/>
      <c r="J164" s="681"/>
      <c r="K164" s="682"/>
    </row>
    <row r="165" spans="3:11" ht="15" customHeight="1" thickBot="1">
      <c r="C165" s="1811" t="str">
        <f>IF(Indice_index!$Z$1=1,"TOTAL Cativos + Reserva 2022","TOTAL Frozen allocations + Reserve 2022")</f>
        <v>TOTAL Cativos + Reserva 2022</v>
      </c>
      <c r="D165" s="1812"/>
      <c r="E165" s="1812"/>
      <c r="F165" s="750">
        <f>F163+F138</f>
        <v>1016.6151669999999</v>
      </c>
      <c r="G165" s="751">
        <f>G163+G138</f>
        <v>582.86736345999998</v>
      </c>
      <c r="H165" s="437"/>
      <c r="I165" s="437"/>
      <c r="J165" s="681"/>
      <c r="K165" s="681"/>
    </row>
    <row r="166" spans="3:11" ht="15" customHeight="1" thickBot="1">
      <c r="C166" s="756"/>
      <c r="D166" s="756"/>
      <c r="E166" s="756"/>
      <c r="F166" s="753"/>
      <c r="G166" s="757"/>
      <c r="H166" s="437"/>
      <c r="I166" s="437"/>
      <c r="J166" s="681"/>
      <c r="K166" s="681"/>
    </row>
    <row r="167" spans="3:11" ht="15" customHeight="1" thickBot="1">
      <c r="C167" s="1811" t="str">
        <f>IF(Indice_index!$Z$1=1,"Por memória Total Cativos + Reserva 2021","Memo item: Total Frozen allocations + Reserve 2021")</f>
        <v>Por memória Total Cativos + Reserva 2021</v>
      </c>
      <c r="D167" s="1812"/>
      <c r="E167" s="1812"/>
      <c r="F167" s="735">
        <v>1014.713043</v>
      </c>
      <c r="G167" s="758">
        <v>680.62492563000001</v>
      </c>
      <c r="H167" s="437"/>
      <c r="I167" s="437"/>
      <c r="J167" s="681"/>
      <c r="K167" s="682"/>
    </row>
    <row r="168" spans="3:11" ht="4.5" customHeight="1">
      <c r="C168" s="752"/>
      <c r="D168" s="753"/>
      <c r="E168" s="753"/>
      <c r="F168" s="753"/>
    </row>
    <row r="169" spans="3:11" ht="15" customHeight="1">
      <c r="C169" s="648" t="str">
        <f>IF(Indice_index!$Z$1=1,"Notas:","Notes:")</f>
        <v>Notas:</v>
      </c>
      <c r="D169" s="759"/>
      <c r="E169" s="759"/>
      <c r="F169" s="759"/>
    </row>
    <row r="170" spans="3:11" ht="19.149999999999999" customHeight="1">
      <c r="C170" s="1817"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D170" s="1817"/>
      <c r="E170" s="1817"/>
      <c r="F170" s="1817"/>
      <c r="G170" s="1817"/>
    </row>
    <row r="171" spans="3:11" ht="15" customHeight="1">
      <c r="C171" s="1818"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171" s="1818"/>
      <c r="E171" s="1818"/>
      <c r="F171" s="1818"/>
      <c r="G171" s="1815"/>
      <c r="H171" s="501"/>
    </row>
    <row r="172" spans="3:11" ht="15" customHeight="1">
      <c r="C172" s="1814"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172" s="1815"/>
      <c r="E172" s="1815"/>
      <c r="F172" s="1815"/>
      <c r="G172" s="1815"/>
    </row>
    <row r="173" spans="3:11" ht="4.5" customHeight="1">
      <c r="C173" s="1819" t="str">
        <f>IF(Indice_index!$Z$1=1,"Fonte: Direção-Geral do Orçamento","Source: Budget General Directorate")</f>
        <v>Fonte: Direção-Geral do Orçamento</v>
      </c>
      <c r="D173" s="1815"/>
      <c r="E173" s="1815"/>
      <c r="F173" s="1815"/>
      <c r="G173" s="1815"/>
      <c r="K173" s="246"/>
    </row>
    <row r="174" spans="3:11" ht="15" customHeight="1">
      <c r="C174" s="1815"/>
      <c r="D174" s="1815"/>
      <c r="E174" s="1815"/>
      <c r="F174" s="1815"/>
      <c r="G174" s="1815"/>
    </row>
    <row r="175" spans="3:11">
      <c r="F175" s="246"/>
    </row>
    <row r="176" spans="3:11" ht="23.45" customHeight="1">
      <c r="C176" s="1814"/>
      <c r="D176" s="1815"/>
      <c r="E176" s="1815"/>
      <c r="F176" s="1815"/>
      <c r="G176" s="1815"/>
    </row>
    <row r="177" spans="3:7" ht="23.45" customHeight="1">
      <c r="C177" s="1814"/>
      <c r="D177" s="1814"/>
      <c r="E177" s="1814"/>
      <c r="F177" s="1814"/>
      <c r="G177" s="1814"/>
    </row>
    <row r="179" spans="3:7">
      <c r="C179" s="409"/>
    </row>
    <row r="181" spans="3:7">
      <c r="C181" s="246"/>
    </row>
  </sheetData>
  <mergeCells count="19">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 ref="C5:C7"/>
    <mergeCell ref="D5:D7"/>
    <mergeCell ref="E5:E7"/>
    <mergeCell ref="C138:E138"/>
    <mergeCell ref="F5:G5"/>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36"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5"/>
  <cols>
    <col min="1" max="1" width="2.42578125" style="184" customWidth="1"/>
    <col min="2" max="2" width="4.42578125" customWidth="1"/>
    <col min="3" max="3" width="94" customWidth="1"/>
    <col min="7" max="7" width="18.85546875" customWidth="1"/>
    <col min="8" max="8" width="59.28515625" bestFit="1" customWidth="1"/>
  </cols>
  <sheetData>
    <row r="1" spans="1:9" s="50" customFormat="1" ht="15" customHeight="1">
      <c r="B1" s="49"/>
      <c r="F1"/>
      <c r="G1"/>
      <c r="H1"/>
      <c r="I1"/>
    </row>
    <row r="2" spans="1:9" s="184" customFormat="1" ht="24" customHeight="1">
      <c r="B2" s="8"/>
      <c r="C2" s="51" t="str">
        <f>IF(Indice_index!$Z$1=1,"23 - Lista de entidades da Administração Central em 2022","23 - Central Administration's list of entities in 2022")</f>
        <v>23 - Lista de entidades da Administração Central em 2022</v>
      </c>
      <c r="D2" s="51"/>
      <c r="F2"/>
      <c r="G2"/>
      <c r="H2"/>
      <c r="I2"/>
    </row>
    <row r="3" spans="1:9" s="186" customFormat="1" ht="30" customHeight="1">
      <c r="B3" s="183"/>
      <c r="C3" s="185"/>
      <c r="D3" s="185"/>
      <c r="F3"/>
      <c r="G3"/>
      <c r="H3"/>
      <c r="I3"/>
    </row>
    <row r="4" spans="1:9" ht="15.75" thickBot="1">
      <c r="A4" s="186"/>
      <c r="C4" s="646" t="str">
        <f>IF(Indice_index!$Z$1=1,"P001 - Órgãos de Soberania","P001 - Sovereignty Entities")</f>
        <v>P001 - Órgãos de Soberania</v>
      </c>
    </row>
    <row r="5" spans="1:9">
      <c r="A5" s="186"/>
      <c r="C5" s="647" t="s">
        <v>498</v>
      </c>
    </row>
    <row r="6" spans="1:9">
      <c r="A6" s="186"/>
      <c r="C6" s="647" t="s">
        <v>497</v>
      </c>
    </row>
    <row r="7" spans="1:9">
      <c r="A7" s="186"/>
      <c r="C7" s="647" t="s">
        <v>496</v>
      </c>
    </row>
    <row r="8" spans="1:9">
      <c r="A8" s="186"/>
      <c r="C8" s="647" t="s">
        <v>495</v>
      </c>
    </row>
    <row r="9" spans="1:9">
      <c r="A9" s="186"/>
      <c r="C9" s="647" t="s">
        <v>494</v>
      </c>
    </row>
    <row r="10" spans="1:9">
      <c r="A10" s="186"/>
      <c r="C10" s="647" t="s">
        <v>493</v>
      </c>
    </row>
    <row r="11" spans="1:9">
      <c r="A11" s="186"/>
      <c r="C11" s="647" t="s">
        <v>492</v>
      </c>
    </row>
    <row r="12" spans="1:9">
      <c r="A12" s="186"/>
      <c r="C12" s="647" t="s">
        <v>491</v>
      </c>
    </row>
    <row r="13" spans="1:9">
      <c r="A13" s="186"/>
      <c r="C13" s="647" t="s">
        <v>490</v>
      </c>
    </row>
    <row r="14" spans="1:9">
      <c r="A14" s="186"/>
      <c r="C14" s="647" t="s">
        <v>489</v>
      </c>
    </row>
    <row r="15" spans="1:9">
      <c r="A15" s="186"/>
      <c r="C15" s="647" t="s">
        <v>488</v>
      </c>
    </row>
    <row r="16" spans="1:9">
      <c r="A16" s="186"/>
      <c r="C16" s="647" t="s">
        <v>487</v>
      </c>
    </row>
    <row r="17" spans="1:3">
      <c r="A17" s="186"/>
      <c r="C17" s="647" t="s">
        <v>486</v>
      </c>
    </row>
    <row r="18" spans="1:3">
      <c r="A18" s="186"/>
      <c r="C18" s="647" t="s">
        <v>505</v>
      </c>
    </row>
    <row r="19" spans="1:3">
      <c r="A19" s="186"/>
      <c r="C19" s="647" t="s">
        <v>506</v>
      </c>
    </row>
    <row r="20" spans="1:3">
      <c r="A20" s="186"/>
      <c r="C20" s="647" t="s">
        <v>485</v>
      </c>
    </row>
    <row r="21" spans="1:3">
      <c r="A21" s="186"/>
      <c r="C21" s="647" t="s">
        <v>484</v>
      </c>
    </row>
    <row r="22" spans="1:3">
      <c r="A22" s="186"/>
      <c r="C22" s="647" t="s">
        <v>483</v>
      </c>
    </row>
    <row r="23" spans="1:3">
      <c r="A23" s="186"/>
      <c r="C23" s="647" t="s">
        <v>482</v>
      </c>
    </row>
    <row r="24" spans="1:3">
      <c r="A24" s="186"/>
      <c r="C24" s="647" t="s">
        <v>481</v>
      </c>
    </row>
    <row r="25" spans="1:3">
      <c r="A25" s="186"/>
      <c r="C25" s="647" t="s">
        <v>480</v>
      </c>
    </row>
    <row r="26" spans="1:3">
      <c r="A26" s="186"/>
      <c r="C26" s="647" t="s">
        <v>479</v>
      </c>
    </row>
    <row r="27" spans="1:3">
      <c r="A27" s="186"/>
      <c r="C27" s="647" t="s">
        <v>478</v>
      </c>
    </row>
    <row r="28" spans="1:3">
      <c r="A28" s="186"/>
      <c r="C28" s="647" t="s">
        <v>477</v>
      </c>
    </row>
    <row r="29" spans="1:3">
      <c r="A29" s="186"/>
      <c r="C29" s="647" t="s">
        <v>476</v>
      </c>
    </row>
    <row r="30" spans="1:3" ht="15.75" thickBot="1">
      <c r="A30" s="186"/>
      <c r="C30" s="646" t="str">
        <f>IF(Indice_index!$Z$1=1,"P002 - Governação","P002 - Government")</f>
        <v>P002 - Governação</v>
      </c>
    </row>
    <row r="31" spans="1:3">
      <c r="A31" s="186"/>
      <c r="C31" s="647" t="s">
        <v>282</v>
      </c>
    </row>
    <row r="32" spans="1:3">
      <c r="A32" s="186"/>
      <c r="C32" s="647" t="s">
        <v>507</v>
      </c>
    </row>
    <row r="33" spans="1:3">
      <c r="A33" s="186"/>
      <c r="C33" s="647" t="s">
        <v>475</v>
      </c>
    </row>
    <row r="34" spans="1:3">
      <c r="A34" s="186"/>
      <c r="C34" s="647" t="s">
        <v>474</v>
      </c>
    </row>
    <row r="35" spans="1:3">
      <c r="A35" s="186"/>
      <c r="C35" s="647" t="s">
        <v>508</v>
      </c>
    </row>
    <row r="36" spans="1:3">
      <c r="A36" s="186"/>
      <c r="C36" s="647" t="s">
        <v>509</v>
      </c>
    </row>
    <row r="37" spans="1:3">
      <c r="A37" s="186"/>
      <c r="C37" s="647" t="s">
        <v>510</v>
      </c>
    </row>
    <row r="38" spans="1:3">
      <c r="A38" s="186"/>
      <c r="C38" s="647" t="s">
        <v>473</v>
      </c>
    </row>
    <row r="39" spans="1:3">
      <c r="A39" s="186"/>
      <c r="C39" s="647" t="s">
        <v>472</v>
      </c>
    </row>
    <row r="40" spans="1:3">
      <c r="A40" s="186"/>
      <c r="C40" s="647" t="s">
        <v>471</v>
      </c>
    </row>
    <row r="41" spans="1:3">
      <c r="A41" s="96"/>
      <c r="C41" s="647" t="s">
        <v>470</v>
      </c>
    </row>
    <row r="42" spans="1:3">
      <c r="A42" s="96"/>
      <c r="C42" s="647" t="s">
        <v>469</v>
      </c>
    </row>
    <row r="43" spans="1:3">
      <c r="A43" s="96"/>
      <c r="C43" s="647" t="s">
        <v>511</v>
      </c>
    </row>
    <row r="44" spans="1:3">
      <c r="A44" s="96"/>
      <c r="C44" s="647" t="s">
        <v>468</v>
      </c>
    </row>
    <row r="45" spans="1:3">
      <c r="A45" s="96"/>
      <c r="C45" s="647" t="s">
        <v>512</v>
      </c>
    </row>
    <row r="46" spans="1:3">
      <c r="A46" s="186"/>
      <c r="C46" s="647" t="s">
        <v>150</v>
      </c>
    </row>
    <row r="47" spans="1:3">
      <c r="A47" s="186"/>
      <c r="C47" s="647" t="s">
        <v>268</v>
      </c>
    </row>
    <row r="48" spans="1:3">
      <c r="A48" s="186"/>
      <c r="C48" s="647" t="s">
        <v>466</v>
      </c>
    </row>
    <row r="49" spans="1:3">
      <c r="A49" s="53"/>
      <c r="C49" s="647" t="s">
        <v>465</v>
      </c>
    </row>
    <row r="50" spans="1:3">
      <c r="A50" s="186"/>
      <c r="C50" s="647" t="s">
        <v>464</v>
      </c>
    </row>
    <row r="51" spans="1:3">
      <c r="A51" s="186"/>
      <c r="C51" s="647" t="s">
        <v>513</v>
      </c>
    </row>
    <row r="52" spans="1:3">
      <c r="A52" s="186"/>
      <c r="C52" s="647" t="s">
        <v>463</v>
      </c>
    </row>
    <row r="53" spans="1:3">
      <c r="A53" s="186"/>
      <c r="C53" s="647" t="s">
        <v>462</v>
      </c>
    </row>
    <row r="54" spans="1:3">
      <c r="A54" s="186"/>
      <c r="C54" s="647" t="s">
        <v>461</v>
      </c>
    </row>
    <row r="55" spans="1:3">
      <c r="A55" s="186"/>
      <c r="C55" s="647" t="s">
        <v>460</v>
      </c>
    </row>
    <row r="56" spans="1:3">
      <c r="A56" s="186"/>
      <c r="C56" s="647" t="s">
        <v>467</v>
      </c>
    </row>
    <row r="57" spans="1:3">
      <c r="A57" s="487"/>
      <c r="C57" s="647" t="s">
        <v>459</v>
      </c>
    </row>
    <row r="58" spans="1:3">
      <c r="A58" s="422"/>
      <c r="C58" s="647" t="s">
        <v>514</v>
      </c>
    </row>
    <row r="59" spans="1:3">
      <c r="A59" s="422"/>
      <c r="C59" s="647" t="s">
        <v>515</v>
      </c>
    </row>
    <row r="60" spans="1:3">
      <c r="A60" s="487"/>
      <c r="C60" s="647" t="s">
        <v>458</v>
      </c>
    </row>
    <row r="61" spans="1:3">
      <c r="A61" s="186"/>
      <c r="C61" s="647" t="s">
        <v>457</v>
      </c>
    </row>
    <row r="62" spans="1:3">
      <c r="A62" s="186"/>
      <c r="C62" s="647" t="s">
        <v>456</v>
      </c>
    </row>
    <row r="63" spans="1:3" ht="15.75" thickBot="1">
      <c r="A63" s="186"/>
      <c r="C63" s="646" t="str">
        <f>IF(Indice_index!$Z$1=1,"P003 - Representação Externa","P003 - Foreign Affairs")</f>
        <v>P003 - Representação Externa</v>
      </c>
    </row>
    <row r="64" spans="1:3">
      <c r="A64" s="186"/>
      <c r="C64" s="647" t="s">
        <v>516</v>
      </c>
    </row>
    <row r="65" spans="1:3">
      <c r="A65" s="186"/>
      <c r="C65" s="647" t="s">
        <v>517</v>
      </c>
    </row>
    <row r="66" spans="1:3">
      <c r="A66" s="186"/>
      <c r="C66" s="647" t="s">
        <v>442</v>
      </c>
    </row>
    <row r="67" spans="1:3">
      <c r="A67" s="186"/>
      <c r="C67" s="647" t="s">
        <v>441</v>
      </c>
    </row>
    <row r="68" spans="1:3">
      <c r="A68" s="186"/>
      <c r="C68" s="647" t="s">
        <v>518</v>
      </c>
    </row>
    <row r="69" spans="1:3" ht="15.75" thickBot="1">
      <c r="A69" s="186"/>
      <c r="C69" s="646" t="str">
        <f>IF(Indice_index!$Z$1=1,"P004 - Defesa","P004 - Defence")</f>
        <v>P004 - Defesa</v>
      </c>
    </row>
    <row r="70" spans="1:3">
      <c r="A70" s="186"/>
      <c r="C70" s="647" t="s">
        <v>519</v>
      </c>
    </row>
    <row r="71" spans="1:3">
      <c r="A71" s="186"/>
      <c r="C71" s="647" t="s">
        <v>520</v>
      </c>
    </row>
    <row r="72" spans="1:3">
      <c r="A72" s="186"/>
      <c r="C72" s="647" t="s">
        <v>521</v>
      </c>
    </row>
    <row r="73" spans="1:3">
      <c r="A73" s="186"/>
      <c r="C73" s="647" t="s">
        <v>416</v>
      </c>
    </row>
    <row r="74" spans="1:3">
      <c r="A74" s="186"/>
      <c r="C74" s="647" t="s">
        <v>415</v>
      </c>
    </row>
    <row r="75" spans="1:3">
      <c r="A75" s="186"/>
      <c r="C75" s="647" t="s">
        <v>522</v>
      </c>
    </row>
    <row r="76" spans="1:3">
      <c r="A76" s="186"/>
      <c r="C76" s="647" t="s">
        <v>414</v>
      </c>
    </row>
    <row r="77" spans="1:3">
      <c r="A77" s="186"/>
      <c r="C77" s="647" t="s">
        <v>523</v>
      </c>
    </row>
    <row r="78" spans="1:3">
      <c r="A78" s="186"/>
      <c r="C78" s="647" t="s">
        <v>524</v>
      </c>
    </row>
    <row r="79" spans="1:3">
      <c r="A79" s="186"/>
      <c r="C79" s="647" t="s">
        <v>525</v>
      </c>
    </row>
    <row r="80" spans="1:3">
      <c r="A80" s="186"/>
      <c r="C80" s="647" t="s">
        <v>526</v>
      </c>
    </row>
    <row r="81" spans="1:3">
      <c r="A81" s="186"/>
      <c r="C81" s="647" t="s">
        <v>413</v>
      </c>
    </row>
    <row r="82" spans="1:3">
      <c r="A82" s="186"/>
      <c r="C82" s="647" t="s">
        <v>412</v>
      </c>
    </row>
    <row r="83" spans="1:3">
      <c r="A83" s="186"/>
      <c r="C83" s="647" t="s">
        <v>527</v>
      </c>
    </row>
    <row r="84" spans="1:3">
      <c r="A84" s="186"/>
      <c r="C84" s="647" t="s">
        <v>411</v>
      </c>
    </row>
    <row r="85" spans="1:3">
      <c r="A85" s="186"/>
      <c r="C85" s="647" t="s">
        <v>410</v>
      </c>
    </row>
    <row r="86" spans="1:3">
      <c r="A86" s="186"/>
      <c r="C86" s="647" t="s">
        <v>528</v>
      </c>
    </row>
    <row r="87" spans="1:3" ht="15.75" thickBot="1">
      <c r="A87" s="186"/>
      <c r="C87" s="646" t="str">
        <f>IF(Indice_index!$Z$1=1,"P005 - Segurança Interna","P005 - Internal Security")</f>
        <v>P005 - Segurança Interna</v>
      </c>
    </row>
    <row r="88" spans="1:3">
      <c r="A88" s="186"/>
      <c r="C88" s="647" t="s">
        <v>529</v>
      </c>
    </row>
    <row r="89" spans="1:3">
      <c r="A89" s="186"/>
      <c r="C89" s="647" t="s">
        <v>409</v>
      </c>
    </row>
    <row r="90" spans="1:3">
      <c r="A90" s="186"/>
      <c r="C90" s="647" t="s">
        <v>408</v>
      </c>
    </row>
    <row r="91" spans="1:3">
      <c r="A91" s="186"/>
      <c r="C91" s="647" t="s">
        <v>407</v>
      </c>
    </row>
    <row r="92" spans="1:3">
      <c r="A92" s="186"/>
      <c r="C92" s="647" t="s">
        <v>406</v>
      </c>
    </row>
    <row r="93" spans="1:3">
      <c r="A93" s="186"/>
      <c r="C93" s="647" t="s">
        <v>405</v>
      </c>
    </row>
    <row r="94" spans="1:3">
      <c r="A94" s="186"/>
      <c r="C94" s="647" t="s">
        <v>530</v>
      </c>
    </row>
    <row r="95" spans="1:3">
      <c r="A95" s="186"/>
      <c r="C95" s="647" t="s">
        <v>404</v>
      </c>
    </row>
    <row r="96" spans="1:3">
      <c r="A96" s="186"/>
      <c r="C96" s="647" t="s">
        <v>531</v>
      </c>
    </row>
    <row r="97" spans="1:3">
      <c r="A97" s="186"/>
      <c r="C97" s="647" t="s">
        <v>403</v>
      </c>
    </row>
    <row r="98" spans="1:3">
      <c r="A98" s="186"/>
      <c r="C98" s="647" t="s">
        <v>402</v>
      </c>
    </row>
    <row r="99" spans="1:3">
      <c r="A99" s="186"/>
      <c r="C99" s="647" t="s">
        <v>401</v>
      </c>
    </row>
    <row r="100" spans="1:3">
      <c r="A100" s="186"/>
      <c r="C100" s="647" t="s">
        <v>532</v>
      </c>
    </row>
    <row r="101" spans="1:3" ht="15.75" thickBot="1">
      <c r="A101" s="186"/>
      <c r="C101" s="646" t="str">
        <f>IF(Indice_index!$Z$1=1,"P006 - Justiça","P006 - Justice")</f>
        <v>P006 - Justiça</v>
      </c>
    </row>
    <row r="102" spans="1:3">
      <c r="A102" s="186"/>
      <c r="C102" s="647" t="s">
        <v>400</v>
      </c>
    </row>
    <row r="103" spans="1:3">
      <c r="A103" s="186"/>
      <c r="C103" s="647" t="s">
        <v>533</v>
      </c>
    </row>
    <row r="104" spans="1:3">
      <c r="A104" s="186"/>
      <c r="C104" s="647" t="s">
        <v>399</v>
      </c>
    </row>
    <row r="105" spans="1:3">
      <c r="A105" s="186"/>
      <c r="C105" s="647" t="s">
        <v>534</v>
      </c>
    </row>
    <row r="106" spans="1:3">
      <c r="A106" s="186"/>
      <c r="C106" s="647" t="s">
        <v>535</v>
      </c>
    </row>
    <row r="107" spans="1:3">
      <c r="A107" s="186"/>
      <c r="C107" s="647" t="s">
        <v>536</v>
      </c>
    </row>
    <row r="108" spans="1:3">
      <c r="A108" s="186"/>
      <c r="C108" s="647" t="s">
        <v>537</v>
      </c>
    </row>
    <row r="109" spans="1:3">
      <c r="A109" s="186"/>
      <c r="C109" s="647" t="s">
        <v>538</v>
      </c>
    </row>
    <row r="110" spans="1:3">
      <c r="A110" s="186"/>
      <c r="C110" s="647" t="s">
        <v>539</v>
      </c>
    </row>
    <row r="111" spans="1:3">
      <c r="A111" s="186"/>
      <c r="C111" s="647" t="s">
        <v>398</v>
      </c>
    </row>
    <row r="112" spans="1:3">
      <c r="A112" s="186"/>
      <c r="C112" s="647" t="s">
        <v>540</v>
      </c>
    </row>
    <row r="113" spans="1:3">
      <c r="A113" s="186"/>
      <c r="C113" s="647" t="s">
        <v>541</v>
      </c>
    </row>
    <row r="114" spans="1:3">
      <c r="A114" s="186"/>
      <c r="C114" s="647" t="s">
        <v>542</v>
      </c>
    </row>
    <row r="115" spans="1:3">
      <c r="A115" s="186"/>
      <c r="C115" s="647" t="s">
        <v>397</v>
      </c>
    </row>
    <row r="116" spans="1:3">
      <c r="A116" s="186"/>
      <c r="C116" s="647" t="s">
        <v>543</v>
      </c>
    </row>
    <row r="117" spans="1:3">
      <c r="A117" s="186"/>
      <c r="C117" s="647" t="s">
        <v>396</v>
      </c>
    </row>
    <row r="118" spans="1:3">
      <c r="A118" s="186"/>
      <c r="C118" s="647" t="s">
        <v>395</v>
      </c>
    </row>
    <row r="119" spans="1:3">
      <c r="A119" s="186"/>
      <c r="C119" s="647" t="s">
        <v>394</v>
      </c>
    </row>
    <row r="120" spans="1:3">
      <c r="A120" s="186"/>
      <c r="C120" s="647" t="s">
        <v>393</v>
      </c>
    </row>
    <row r="121" spans="1:3">
      <c r="A121" s="186"/>
      <c r="C121" s="647" t="s">
        <v>392</v>
      </c>
    </row>
    <row r="122" spans="1:3">
      <c r="A122" s="186"/>
      <c r="C122" s="647" t="s">
        <v>391</v>
      </c>
    </row>
    <row r="123" spans="1:3">
      <c r="A123" s="186"/>
      <c r="C123" s="647" t="s">
        <v>390</v>
      </c>
    </row>
    <row r="124" spans="1:3" ht="15.75" thickBot="1">
      <c r="A124" s="186"/>
      <c r="C124" s="646" t="str">
        <f>IF(Indice_index!$Z$1=1,"P007 - Finanças","P007 - Finance and Public Administration")</f>
        <v>P007 - Finanças</v>
      </c>
    </row>
    <row r="125" spans="1:3">
      <c r="A125" s="186"/>
      <c r="C125" s="647" t="s">
        <v>547</v>
      </c>
    </row>
    <row r="126" spans="1:3">
      <c r="A126" s="186"/>
      <c r="C126" s="647" t="s">
        <v>548</v>
      </c>
    </row>
    <row r="127" spans="1:3">
      <c r="A127" s="186"/>
      <c r="C127" s="647" t="s">
        <v>440</v>
      </c>
    </row>
    <row r="128" spans="1:3">
      <c r="A128" s="186"/>
      <c r="C128" s="647" t="s">
        <v>439</v>
      </c>
    </row>
    <row r="129" spans="1:4">
      <c r="A129" s="186"/>
      <c r="C129" s="647" t="s">
        <v>438</v>
      </c>
    </row>
    <row r="130" spans="1:4">
      <c r="A130" s="186"/>
      <c r="C130" s="647" t="s">
        <v>437</v>
      </c>
    </row>
    <row r="131" spans="1:4">
      <c r="A131" s="186"/>
      <c r="C131" s="647" t="s">
        <v>436</v>
      </c>
    </row>
    <row r="132" spans="1:4">
      <c r="A132" s="186"/>
      <c r="C132" s="647" t="s">
        <v>435</v>
      </c>
    </row>
    <row r="133" spans="1:4">
      <c r="A133" s="186"/>
      <c r="C133" s="647" t="s">
        <v>544</v>
      </c>
    </row>
    <row r="134" spans="1:4">
      <c r="A134" s="186"/>
      <c r="C134" s="647" t="s">
        <v>549</v>
      </c>
    </row>
    <row r="135" spans="1:4">
      <c r="A135" s="186"/>
      <c r="C135" s="647" t="s">
        <v>434</v>
      </c>
      <c r="D135" s="246"/>
    </row>
    <row r="136" spans="1:4">
      <c r="A136" s="186"/>
      <c r="C136" s="647" t="s">
        <v>433</v>
      </c>
    </row>
    <row r="137" spans="1:4">
      <c r="A137" s="186"/>
      <c r="C137" s="647" t="s">
        <v>432</v>
      </c>
    </row>
    <row r="138" spans="1:4">
      <c r="A138" s="186"/>
      <c r="C138" s="647" t="s">
        <v>431</v>
      </c>
    </row>
    <row r="139" spans="1:4">
      <c r="A139" s="186"/>
      <c r="C139" s="647" t="s">
        <v>430</v>
      </c>
    </row>
    <row r="140" spans="1:4">
      <c r="A140" s="186"/>
      <c r="C140" s="647" t="s">
        <v>429</v>
      </c>
    </row>
    <row r="141" spans="1:4">
      <c r="A141" s="186"/>
      <c r="C141" s="647" t="s">
        <v>428</v>
      </c>
    </row>
    <row r="142" spans="1:4">
      <c r="A142" s="186"/>
      <c r="C142" s="647" t="s">
        <v>427</v>
      </c>
    </row>
    <row r="143" spans="1:4">
      <c r="A143" s="186"/>
      <c r="C143" s="647" t="s">
        <v>426</v>
      </c>
    </row>
    <row r="144" spans="1:4">
      <c r="A144" s="186"/>
      <c r="C144" s="647" t="s">
        <v>550</v>
      </c>
      <c r="D144" s="246"/>
    </row>
    <row r="145" spans="1:3">
      <c r="A145" s="186"/>
      <c r="C145" s="647" t="s">
        <v>425</v>
      </c>
    </row>
    <row r="146" spans="1:3">
      <c r="A146" s="186"/>
      <c r="C146" s="647" t="s">
        <v>424</v>
      </c>
    </row>
    <row r="147" spans="1:3">
      <c r="A147" s="186"/>
      <c r="C147" s="647" t="s">
        <v>423</v>
      </c>
    </row>
    <row r="148" spans="1:3">
      <c r="A148" s="186"/>
      <c r="C148" s="647" t="s">
        <v>545</v>
      </c>
    </row>
    <row r="149" spans="1:3">
      <c r="A149" s="186"/>
      <c r="C149" s="647" t="s">
        <v>546</v>
      </c>
    </row>
    <row r="150" spans="1:3">
      <c r="A150" s="186"/>
      <c r="C150" s="647" t="s">
        <v>584</v>
      </c>
    </row>
    <row r="151" spans="1:3">
      <c r="A151" s="186"/>
      <c r="C151" s="647" t="s">
        <v>422</v>
      </c>
    </row>
    <row r="152" spans="1:3">
      <c r="A152" s="186"/>
      <c r="C152" s="647" t="s">
        <v>551</v>
      </c>
    </row>
    <row r="153" spans="1:3">
      <c r="A153" s="186"/>
      <c r="C153" s="647" t="s">
        <v>421</v>
      </c>
    </row>
    <row r="154" spans="1:3">
      <c r="A154" s="186"/>
      <c r="C154" s="647" t="s">
        <v>420</v>
      </c>
    </row>
    <row r="155" spans="1:3">
      <c r="A155" s="186"/>
      <c r="C155" s="647" t="s">
        <v>419</v>
      </c>
    </row>
    <row r="156" spans="1:3">
      <c r="A156" s="186"/>
      <c r="C156" s="647" t="s">
        <v>418</v>
      </c>
    </row>
    <row r="157" spans="1:3">
      <c r="A157" s="186"/>
      <c r="C157" s="647" t="s">
        <v>552</v>
      </c>
    </row>
    <row r="158" spans="1:3" ht="15.75" thickBot="1">
      <c r="A158" s="186"/>
      <c r="C158" s="646" t="str">
        <f>IF(Indice_index!$Z$1=1,"P008 - Gestão Da Dívida Pública","P008 - Public Debt Management")</f>
        <v>P008 - Gestão Da Dívida Pública</v>
      </c>
    </row>
    <row r="159" spans="1:3">
      <c r="A159" s="186"/>
      <c r="C159" s="647" t="s">
        <v>417</v>
      </c>
    </row>
    <row r="160" spans="1:3" ht="15.75" thickBot="1">
      <c r="A160" s="186"/>
      <c r="C160" s="646" t="str">
        <f>IF(Indice_index!$Z$1=1,"P009 - Economia e Mar","P009 - Economy and Sea")</f>
        <v>P009 - Economia e Mar</v>
      </c>
    </row>
    <row r="161" spans="1:3">
      <c r="A161" s="186"/>
      <c r="C161" s="647" t="s">
        <v>577</v>
      </c>
    </row>
    <row r="162" spans="1:3">
      <c r="A162" s="186"/>
      <c r="C162" s="647" t="s">
        <v>554</v>
      </c>
    </row>
    <row r="163" spans="1:3">
      <c r="A163" s="186"/>
      <c r="C163" s="647" t="s">
        <v>555</v>
      </c>
    </row>
    <row r="164" spans="1:3">
      <c r="A164" s="186"/>
      <c r="C164" s="647" t="s">
        <v>99</v>
      </c>
    </row>
    <row r="165" spans="1:3">
      <c r="A165" s="186"/>
      <c r="C165" s="647" t="s">
        <v>556</v>
      </c>
    </row>
    <row r="166" spans="1:3">
      <c r="A166" s="186"/>
      <c r="C166" s="647" t="s">
        <v>455</v>
      </c>
    </row>
    <row r="167" spans="1:3">
      <c r="A167" s="186"/>
      <c r="C167" s="647" t="s">
        <v>97</v>
      </c>
    </row>
    <row r="168" spans="1:3">
      <c r="A168" s="186"/>
      <c r="C168" s="647" t="s">
        <v>557</v>
      </c>
    </row>
    <row r="169" spans="1:3">
      <c r="A169" s="186"/>
      <c r="C169" s="647" t="s">
        <v>96</v>
      </c>
    </row>
    <row r="170" spans="1:3">
      <c r="A170" s="186"/>
      <c r="C170" s="647" t="s">
        <v>454</v>
      </c>
    </row>
    <row r="171" spans="1:3">
      <c r="A171" s="186"/>
      <c r="C171" s="647" t="s">
        <v>453</v>
      </c>
    </row>
    <row r="172" spans="1:3">
      <c r="A172" s="186"/>
      <c r="C172" s="647" t="s">
        <v>558</v>
      </c>
    </row>
    <row r="173" spans="1:3">
      <c r="A173" s="186"/>
      <c r="C173" s="647" t="s">
        <v>452</v>
      </c>
    </row>
    <row r="174" spans="1:3">
      <c r="A174" s="186"/>
      <c r="C174" s="647" t="s">
        <v>451</v>
      </c>
    </row>
    <row r="175" spans="1:3">
      <c r="A175" s="186"/>
      <c r="C175" s="647" t="s">
        <v>559</v>
      </c>
    </row>
    <row r="176" spans="1:3">
      <c r="A176" s="186"/>
      <c r="C176" s="647" t="s">
        <v>450</v>
      </c>
    </row>
    <row r="177" spans="1:3">
      <c r="A177" s="186"/>
      <c r="C177" s="647" t="s">
        <v>449</v>
      </c>
    </row>
    <row r="178" spans="1:3">
      <c r="A178" s="186"/>
      <c r="C178" s="647" t="s">
        <v>448</v>
      </c>
    </row>
    <row r="179" spans="1:3">
      <c r="A179" s="186"/>
      <c r="C179" s="647" t="s">
        <v>553</v>
      </c>
    </row>
    <row r="180" spans="1:3">
      <c r="A180" s="186"/>
      <c r="C180" s="647" t="s">
        <v>560</v>
      </c>
    </row>
    <row r="181" spans="1:3">
      <c r="A181" s="186"/>
      <c r="C181" s="647" t="s">
        <v>561</v>
      </c>
    </row>
    <row r="182" spans="1:3">
      <c r="A182" s="186"/>
      <c r="C182" s="647" t="s">
        <v>562</v>
      </c>
    </row>
    <row r="183" spans="1:3">
      <c r="A183" s="186"/>
      <c r="C183" s="647" t="s">
        <v>563</v>
      </c>
    </row>
    <row r="184" spans="1:3">
      <c r="A184" s="186"/>
      <c r="C184" s="647" t="s">
        <v>564</v>
      </c>
    </row>
    <row r="185" spans="1:3">
      <c r="A185" s="186"/>
      <c r="C185" s="647" t="s">
        <v>447</v>
      </c>
    </row>
    <row r="186" spans="1:3">
      <c r="A186" s="186"/>
      <c r="C186" s="647" t="s">
        <v>446</v>
      </c>
    </row>
    <row r="187" spans="1:3">
      <c r="A187" s="186"/>
      <c r="C187" s="647" t="s">
        <v>445</v>
      </c>
    </row>
    <row r="188" spans="1:3">
      <c r="A188" s="186"/>
      <c r="C188" s="647" t="s">
        <v>444</v>
      </c>
    </row>
    <row r="189" spans="1:3">
      <c r="A189" s="186"/>
      <c r="C189" s="647" t="s">
        <v>443</v>
      </c>
    </row>
    <row r="190" spans="1:3" ht="15.75" thickBot="1">
      <c r="A190" s="186"/>
      <c r="B190" s="246"/>
      <c r="C190" s="646" t="str">
        <f>IF(Indice_index!$Z$1=1,"P010 - Cultura","P010 - Culture")</f>
        <v>P010 - Cultura</v>
      </c>
    </row>
    <row r="191" spans="1:3">
      <c r="A191" s="186"/>
      <c r="C191" s="647" t="s">
        <v>389</v>
      </c>
    </row>
    <row r="192" spans="1:3">
      <c r="A192" s="186"/>
      <c r="C192" s="647" t="s">
        <v>388</v>
      </c>
    </row>
    <row r="193" spans="1:3">
      <c r="A193" s="186"/>
      <c r="C193" s="647" t="s">
        <v>383</v>
      </c>
    </row>
    <row r="194" spans="1:3">
      <c r="A194" s="186"/>
      <c r="C194" s="647" t="s">
        <v>387</v>
      </c>
    </row>
    <row r="195" spans="1:3">
      <c r="A195" s="186"/>
      <c r="C195" s="647" t="s">
        <v>386</v>
      </c>
    </row>
    <row r="196" spans="1:3">
      <c r="A196" s="186"/>
      <c r="C196" s="647" t="s">
        <v>385</v>
      </c>
    </row>
    <row r="197" spans="1:3">
      <c r="A197" s="186"/>
      <c r="C197" s="647" t="s">
        <v>384</v>
      </c>
    </row>
    <row r="198" spans="1:3">
      <c r="A198" s="186"/>
      <c r="C198" s="647" t="s">
        <v>382</v>
      </c>
    </row>
    <row r="199" spans="1:3">
      <c r="A199" s="186"/>
      <c r="C199" s="647" t="s">
        <v>381</v>
      </c>
    </row>
    <row r="200" spans="1:3">
      <c r="A200" s="186"/>
      <c r="C200" s="647" t="s">
        <v>380</v>
      </c>
    </row>
    <row r="201" spans="1:3">
      <c r="A201" s="186"/>
      <c r="C201" s="647" t="s">
        <v>379</v>
      </c>
    </row>
    <row r="202" spans="1:3">
      <c r="A202" s="186"/>
      <c r="C202" s="647" t="s">
        <v>378</v>
      </c>
    </row>
    <row r="203" spans="1:3">
      <c r="A203" s="186"/>
      <c r="C203" s="647" t="s">
        <v>377</v>
      </c>
    </row>
    <row r="204" spans="1:3">
      <c r="A204" s="186"/>
      <c r="C204" s="647" t="s">
        <v>376</v>
      </c>
    </row>
    <row r="205" spans="1:3">
      <c r="A205" s="186"/>
      <c r="C205" s="647" t="s">
        <v>375</v>
      </c>
    </row>
    <row r="206" spans="1:3">
      <c r="A206" s="186"/>
      <c r="C206" s="647" t="s">
        <v>374</v>
      </c>
    </row>
    <row r="207" spans="1:3">
      <c r="A207" s="186"/>
      <c r="C207" s="647" t="s">
        <v>373</v>
      </c>
    </row>
    <row r="208" spans="1:3" ht="15.75" thickBot="1">
      <c r="A208" s="186"/>
      <c r="C208" s="646" t="str">
        <f>IF(Indice_index!$Z$1=1,"P011 - Ciência, Tecnologia e Ensino Superior","P011 - Science and Higher Education")</f>
        <v>P011 - Ciência, Tecnologia e Ensino Superior</v>
      </c>
    </row>
    <row r="209" spans="1:3">
      <c r="A209" s="186"/>
      <c r="C209" s="647" t="s">
        <v>372</v>
      </c>
    </row>
    <row r="210" spans="1:3">
      <c r="A210" s="186"/>
      <c r="C210" s="647" t="s">
        <v>371</v>
      </c>
    </row>
    <row r="211" spans="1:3">
      <c r="A211" s="186"/>
      <c r="C211" s="647" t="s">
        <v>370</v>
      </c>
    </row>
    <row r="212" spans="1:3">
      <c r="A212" s="186"/>
      <c r="C212" s="647" t="s">
        <v>369</v>
      </c>
    </row>
    <row r="213" spans="1:3">
      <c r="A213" s="186"/>
      <c r="C213" s="647" t="s">
        <v>368</v>
      </c>
    </row>
    <row r="214" spans="1:3">
      <c r="A214" s="186"/>
      <c r="C214" s="647" t="s">
        <v>367</v>
      </c>
    </row>
    <row r="215" spans="1:3">
      <c r="A215" s="186"/>
      <c r="C215" s="647" t="s">
        <v>366</v>
      </c>
    </row>
    <row r="216" spans="1:3">
      <c r="A216" s="186"/>
      <c r="C216" s="647" t="s">
        <v>365</v>
      </c>
    </row>
    <row r="217" spans="1:3">
      <c r="A217" s="186"/>
      <c r="C217" s="647" t="s">
        <v>364</v>
      </c>
    </row>
    <row r="218" spans="1:3">
      <c r="A218" s="186"/>
      <c r="C218" s="647" t="s">
        <v>363</v>
      </c>
    </row>
    <row r="219" spans="1:3">
      <c r="A219" s="186"/>
      <c r="C219" s="647" t="s">
        <v>362</v>
      </c>
    </row>
    <row r="220" spans="1:3">
      <c r="A220" s="186"/>
      <c r="C220" s="647" t="s">
        <v>361</v>
      </c>
    </row>
    <row r="221" spans="1:3">
      <c r="A221" s="186"/>
      <c r="C221" s="647" t="s">
        <v>360</v>
      </c>
    </row>
    <row r="222" spans="1:3">
      <c r="A222" s="186"/>
      <c r="C222" s="647" t="s">
        <v>359</v>
      </c>
    </row>
    <row r="223" spans="1:3">
      <c r="A223" s="186"/>
      <c r="C223" s="647" t="s">
        <v>358</v>
      </c>
    </row>
    <row r="224" spans="1:3">
      <c r="A224" s="186"/>
      <c r="C224" s="647" t="s">
        <v>565</v>
      </c>
    </row>
    <row r="225" spans="1:3">
      <c r="A225" s="186"/>
      <c r="C225" s="647" t="s">
        <v>357</v>
      </c>
    </row>
    <row r="226" spans="1:3">
      <c r="A226" s="186"/>
      <c r="C226" s="647" t="s">
        <v>356</v>
      </c>
    </row>
    <row r="227" spans="1:3">
      <c r="A227" s="186"/>
      <c r="C227" s="647" t="s">
        <v>355</v>
      </c>
    </row>
    <row r="228" spans="1:3">
      <c r="A228" s="186"/>
      <c r="C228" s="647" t="s">
        <v>354</v>
      </c>
    </row>
    <row r="229" spans="1:3">
      <c r="A229" s="186"/>
      <c r="C229" s="647" t="s">
        <v>353</v>
      </c>
    </row>
    <row r="230" spans="1:3">
      <c r="A230" s="186"/>
      <c r="C230" s="647" t="s">
        <v>352</v>
      </c>
    </row>
    <row r="231" spans="1:3">
      <c r="A231" s="186"/>
      <c r="C231" s="647" t="s">
        <v>351</v>
      </c>
    </row>
    <row r="232" spans="1:3">
      <c r="A232" s="186"/>
      <c r="C232" s="647" t="s">
        <v>350</v>
      </c>
    </row>
    <row r="233" spans="1:3">
      <c r="A233" s="186"/>
      <c r="C233" s="647" t="s">
        <v>349</v>
      </c>
    </row>
    <row r="234" spans="1:3">
      <c r="C234" s="647" t="s">
        <v>348</v>
      </c>
    </row>
    <row r="235" spans="1:3">
      <c r="C235" s="647" t="s">
        <v>347</v>
      </c>
    </row>
    <row r="236" spans="1:3">
      <c r="C236" s="647" t="s">
        <v>346</v>
      </c>
    </row>
    <row r="237" spans="1:3">
      <c r="C237" s="647" t="s">
        <v>345</v>
      </c>
    </row>
    <row r="238" spans="1:3">
      <c r="C238" s="647" t="s">
        <v>344</v>
      </c>
    </row>
    <row r="239" spans="1:3">
      <c r="C239" s="647" t="s">
        <v>343</v>
      </c>
    </row>
    <row r="240" spans="1:3">
      <c r="C240" s="647" t="s">
        <v>342</v>
      </c>
    </row>
    <row r="241" spans="3:3">
      <c r="C241" s="647" t="s">
        <v>341</v>
      </c>
    </row>
    <row r="242" spans="3:3">
      <c r="C242" s="647" t="s">
        <v>340</v>
      </c>
    </row>
    <row r="243" spans="3:3">
      <c r="C243" s="647" t="s">
        <v>566</v>
      </c>
    </row>
    <row r="244" spans="3:3">
      <c r="C244" s="647" t="s">
        <v>339</v>
      </c>
    </row>
    <row r="245" spans="3:3">
      <c r="C245" s="647" t="s">
        <v>338</v>
      </c>
    </row>
    <row r="246" spans="3:3">
      <c r="C246" s="647" t="s">
        <v>337</v>
      </c>
    </row>
    <row r="247" spans="3:3">
      <c r="C247" s="647" t="s">
        <v>336</v>
      </c>
    </row>
    <row r="248" spans="3:3">
      <c r="C248" s="647" t="s">
        <v>335</v>
      </c>
    </row>
    <row r="249" spans="3:3">
      <c r="C249" s="647" t="s">
        <v>334</v>
      </c>
    </row>
    <row r="250" spans="3:3">
      <c r="C250" s="647" t="s">
        <v>333</v>
      </c>
    </row>
    <row r="251" spans="3:3">
      <c r="C251" s="647" t="s">
        <v>332</v>
      </c>
    </row>
    <row r="252" spans="3:3">
      <c r="C252" s="647" t="s">
        <v>331</v>
      </c>
    </row>
    <row r="253" spans="3:3">
      <c r="C253" s="647" t="s">
        <v>330</v>
      </c>
    </row>
    <row r="254" spans="3:3">
      <c r="C254" s="647" t="s">
        <v>329</v>
      </c>
    </row>
    <row r="255" spans="3:3">
      <c r="C255" s="647" t="s">
        <v>328</v>
      </c>
    </row>
    <row r="256" spans="3:3">
      <c r="C256" s="647" t="s">
        <v>327</v>
      </c>
    </row>
    <row r="257" spans="3:3">
      <c r="C257" s="647" t="s">
        <v>326</v>
      </c>
    </row>
    <row r="258" spans="3:3">
      <c r="C258" s="647" t="s">
        <v>325</v>
      </c>
    </row>
    <row r="259" spans="3:3">
      <c r="C259" s="647" t="s">
        <v>324</v>
      </c>
    </row>
    <row r="260" spans="3:3">
      <c r="C260" s="647" t="s">
        <v>323</v>
      </c>
    </row>
    <row r="261" spans="3:3">
      <c r="C261" s="647" t="s">
        <v>322</v>
      </c>
    </row>
    <row r="262" spans="3:3">
      <c r="C262" s="647" t="s">
        <v>321</v>
      </c>
    </row>
    <row r="263" spans="3:3">
      <c r="C263" s="647" t="s">
        <v>320</v>
      </c>
    </row>
    <row r="264" spans="3:3">
      <c r="C264" s="647" t="s">
        <v>319</v>
      </c>
    </row>
    <row r="265" spans="3:3">
      <c r="C265" s="647" t="s">
        <v>318</v>
      </c>
    </row>
    <row r="266" spans="3:3">
      <c r="C266" s="647" t="s">
        <v>317</v>
      </c>
    </row>
    <row r="267" spans="3:3">
      <c r="C267" s="647" t="s">
        <v>316</v>
      </c>
    </row>
    <row r="268" spans="3:3">
      <c r="C268" s="647" t="s">
        <v>578</v>
      </c>
    </row>
    <row r="269" spans="3:3">
      <c r="C269" s="647" t="s">
        <v>315</v>
      </c>
    </row>
    <row r="270" spans="3:3">
      <c r="C270" s="647" t="s">
        <v>314</v>
      </c>
    </row>
    <row r="271" spans="3:3">
      <c r="C271" s="647" t="s">
        <v>313</v>
      </c>
    </row>
    <row r="272" spans="3:3">
      <c r="C272" s="647" t="s">
        <v>312</v>
      </c>
    </row>
    <row r="273" spans="3:3">
      <c r="C273" s="647" t="s">
        <v>311</v>
      </c>
    </row>
    <row r="274" spans="3:3">
      <c r="C274" s="647" t="s">
        <v>310</v>
      </c>
    </row>
    <row r="275" spans="3:3">
      <c r="C275" s="647" t="s">
        <v>309</v>
      </c>
    </row>
    <row r="276" spans="3:3">
      <c r="C276" s="647" t="s">
        <v>308</v>
      </c>
    </row>
    <row r="277" spans="3:3">
      <c r="C277" s="647" t="s">
        <v>307</v>
      </c>
    </row>
    <row r="278" spans="3:3">
      <c r="C278" s="647" t="s">
        <v>306</v>
      </c>
    </row>
    <row r="279" spans="3:3">
      <c r="C279" s="647" t="s">
        <v>305</v>
      </c>
    </row>
    <row r="280" spans="3:3">
      <c r="C280" s="647" t="s">
        <v>304</v>
      </c>
    </row>
    <row r="281" spans="3:3">
      <c r="C281" s="647" t="s">
        <v>303</v>
      </c>
    </row>
    <row r="282" spans="3:3">
      <c r="C282" s="647" t="s">
        <v>302</v>
      </c>
    </row>
    <row r="283" spans="3:3">
      <c r="C283" s="647" t="s">
        <v>301</v>
      </c>
    </row>
    <row r="284" spans="3:3">
      <c r="C284" s="647" t="s">
        <v>300</v>
      </c>
    </row>
    <row r="285" spans="3:3">
      <c r="C285" s="647" t="s">
        <v>299</v>
      </c>
    </row>
    <row r="286" spans="3:3">
      <c r="C286" s="647" t="s">
        <v>298</v>
      </c>
    </row>
    <row r="287" spans="3:3">
      <c r="C287" s="647" t="s">
        <v>297</v>
      </c>
    </row>
    <row r="288" spans="3:3">
      <c r="C288" s="647" t="s">
        <v>296</v>
      </c>
    </row>
    <row r="289" spans="3:3">
      <c r="C289" s="647" t="s">
        <v>295</v>
      </c>
    </row>
    <row r="290" spans="3:3">
      <c r="C290" s="647" t="s">
        <v>294</v>
      </c>
    </row>
    <row r="291" spans="3:3">
      <c r="C291" s="647" t="s">
        <v>293</v>
      </c>
    </row>
    <row r="292" spans="3:3">
      <c r="C292" s="647" t="s">
        <v>292</v>
      </c>
    </row>
    <row r="293" spans="3:3">
      <c r="C293" s="647" t="s">
        <v>291</v>
      </c>
    </row>
    <row r="294" spans="3:3">
      <c r="C294" s="647" t="s">
        <v>290</v>
      </c>
    </row>
    <row r="295" spans="3:3">
      <c r="C295" s="647" t="s">
        <v>289</v>
      </c>
    </row>
    <row r="296" spans="3:3">
      <c r="C296" s="647" t="s">
        <v>288</v>
      </c>
    </row>
    <row r="297" spans="3:3">
      <c r="C297" s="647" t="s">
        <v>287</v>
      </c>
    </row>
    <row r="298" spans="3:3">
      <c r="C298" s="647" t="s">
        <v>286</v>
      </c>
    </row>
    <row r="299" spans="3:3">
      <c r="C299" s="647" t="s">
        <v>285</v>
      </c>
    </row>
    <row r="300" spans="3:3">
      <c r="C300" s="647" t="s">
        <v>284</v>
      </c>
    </row>
    <row r="301" spans="3:3" ht="15.75" thickBot="1">
      <c r="C301" s="646" t="str">
        <f>IF(Indice_index!$Z$1=1,"P012 - Ensino Básico e Secundário e Administração Escolar","P012 - Basic and Secondary Education and School Administration")</f>
        <v>P012 - Ensino Básico e Secundário e Administração Escolar</v>
      </c>
    </row>
    <row r="302" spans="3:3">
      <c r="C302" s="647" t="s">
        <v>283</v>
      </c>
    </row>
    <row r="303" spans="3:3">
      <c r="C303" s="647" t="s">
        <v>281</v>
      </c>
    </row>
    <row r="304" spans="3:3">
      <c r="C304" s="647" t="s">
        <v>280</v>
      </c>
    </row>
    <row r="305" spans="3:3">
      <c r="C305" s="647" t="s">
        <v>279</v>
      </c>
    </row>
    <row r="306" spans="3:3">
      <c r="C306" s="647" t="s">
        <v>278</v>
      </c>
    </row>
    <row r="307" spans="3:3">
      <c r="C307" s="647" t="s">
        <v>277</v>
      </c>
    </row>
    <row r="308" spans="3:3">
      <c r="C308" s="647" t="s">
        <v>276</v>
      </c>
    </row>
    <row r="309" spans="3:3">
      <c r="C309" s="647" t="s">
        <v>275</v>
      </c>
    </row>
    <row r="310" spans="3:3">
      <c r="C310" s="647" t="s">
        <v>274</v>
      </c>
    </row>
    <row r="311" spans="3:3">
      <c r="C311" s="647" t="s">
        <v>273</v>
      </c>
    </row>
    <row r="312" spans="3:3">
      <c r="C312" s="647" t="s">
        <v>272</v>
      </c>
    </row>
    <row r="313" spans="3:3">
      <c r="C313" s="647" t="s">
        <v>271</v>
      </c>
    </row>
    <row r="314" spans="3:3">
      <c r="C314" s="647" t="s">
        <v>270</v>
      </c>
    </row>
    <row r="315" spans="3:3">
      <c r="C315" s="647" t="s">
        <v>269</v>
      </c>
    </row>
    <row r="316" spans="3:3">
      <c r="C316" s="647" t="s">
        <v>267</v>
      </c>
    </row>
    <row r="317" spans="3:3">
      <c r="C317" s="647" t="s">
        <v>266</v>
      </c>
    </row>
    <row r="318" spans="3:3">
      <c r="C318" s="647" t="s">
        <v>265</v>
      </c>
    </row>
    <row r="319" spans="3:3">
      <c r="C319" s="647" t="s">
        <v>264</v>
      </c>
    </row>
    <row r="320" spans="3:3">
      <c r="C320" s="647" t="s">
        <v>263</v>
      </c>
    </row>
    <row r="321" spans="3:3" ht="15.75" thickBot="1">
      <c r="C321" s="646" t="str">
        <f>IF(Indice_index!$Z$1=1,"P013 - Trabalho, Solidariedade e Seg. Social","P013 - Work, Solidarity and Social Security")</f>
        <v>P013 - Trabalho, Solidariedade e Seg. Social</v>
      </c>
    </row>
    <row r="322" spans="3:3">
      <c r="C322" s="647" t="s">
        <v>262</v>
      </c>
    </row>
    <row r="323" spans="3:3">
      <c r="C323" s="647" t="s">
        <v>261</v>
      </c>
    </row>
    <row r="324" spans="3:3">
      <c r="C324" s="647" t="s">
        <v>260</v>
      </c>
    </row>
    <row r="325" spans="3:3">
      <c r="C325" s="647" t="s">
        <v>259</v>
      </c>
    </row>
    <row r="326" spans="3:3">
      <c r="C326" s="647" t="s">
        <v>258</v>
      </c>
    </row>
    <row r="327" spans="3:3">
      <c r="C327" s="647" t="s">
        <v>257</v>
      </c>
    </row>
    <row r="328" spans="3:3">
      <c r="C328" s="647" t="s">
        <v>256</v>
      </c>
    </row>
    <row r="329" spans="3:3">
      <c r="C329" s="647" t="s">
        <v>255</v>
      </c>
    </row>
    <row r="330" spans="3:3">
      <c r="C330" s="647" t="s">
        <v>254</v>
      </c>
    </row>
    <row r="331" spans="3:3">
      <c r="C331" s="647" t="s">
        <v>253</v>
      </c>
    </row>
    <row r="332" spans="3:3">
      <c r="C332" s="647" t="s">
        <v>252</v>
      </c>
    </row>
    <row r="333" spans="3:3">
      <c r="C333" s="647" t="s">
        <v>251</v>
      </c>
    </row>
    <row r="334" spans="3:3">
      <c r="C334" s="647" t="s">
        <v>250</v>
      </c>
    </row>
    <row r="335" spans="3:3">
      <c r="C335" s="647" t="s">
        <v>249</v>
      </c>
    </row>
    <row r="336" spans="3:3">
      <c r="C336" s="647" t="s">
        <v>248</v>
      </c>
    </row>
    <row r="337" spans="3:3">
      <c r="C337" s="647" t="s">
        <v>247</v>
      </c>
    </row>
    <row r="338" spans="3:3">
      <c r="C338" s="647" t="s">
        <v>246</v>
      </c>
    </row>
    <row r="339" spans="3:3">
      <c r="C339" s="647" t="s">
        <v>245</v>
      </c>
    </row>
    <row r="340" spans="3:3">
      <c r="C340" s="647" t="s">
        <v>244</v>
      </c>
    </row>
    <row r="341" spans="3:3">
      <c r="C341" s="647" t="s">
        <v>243</v>
      </c>
    </row>
    <row r="342" spans="3:3">
      <c r="C342" s="647" t="s">
        <v>242</v>
      </c>
    </row>
    <row r="343" spans="3:3">
      <c r="C343" s="647" t="s">
        <v>241</v>
      </c>
    </row>
    <row r="344" spans="3:3">
      <c r="C344" s="647" t="s">
        <v>240</v>
      </c>
    </row>
    <row r="345" spans="3:3">
      <c r="C345" s="647" t="s">
        <v>239</v>
      </c>
    </row>
    <row r="346" spans="3:3">
      <c r="C346" s="647" t="s">
        <v>238</v>
      </c>
    </row>
    <row r="347" spans="3:3">
      <c r="C347" s="647" t="s">
        <v>237</v>
      </c>
    </row>
    <row r="348" spans="3:3">
      <c r="C348" s="647" t="s">
        <v>236</v>
      </c>
    </row>
    <row r="349" spans="3:3">
      <c r="C349" s="647" t="s">
        <v>235</v>
      </c>
    </row>
    <row r="350" spans="3:3">
      <c r="C350" s="647" t="s">
        <v>234</v>
      </c>
    </row>
    <row r="351" spans="3:3">
      <c r="C351" s="647" t="s">
        <v>233</v>
      </c>
    </row>
    <row r="352" spans="3:3">
      <c r="C352" s="647" t="s">
        <v>232</v>
      </c>
    </row>
    <row r="353" spans="3:3">
      <c r="C353" s="647" t="s">
        <v>231</v>
      </c>
    </row>
    <row r="354" spans="3:3">
      <c r="C354" s="647" t="s">
        <v>230</v>
      </c>
    </row>
    <row r="355" spans="3:3">
      <c r="C355" s="647" t="s">
        <v>229</v>
      </c>
    </row>
    <row r="356" spans="3:3">
      <c r="C356" s="647" t="s">
        <v>228</v>
      </c>
    </row>
    <row r="357" spans="3:3">
      <c r="C357" s="647" t="s">
        <v>227</v>
      </c>
    </row>
    <row r="358" spans="3:3">
      <c r="C358" s="647" t="s">
        <v>226</v>
      </c>
    </row>
    <row r="359" spans="3:3">
      <c r="C359" s="647" t="s">
        <v>225</v>
      </c>
    </row>
    <row r="360" spans="3:3">
      <c r="C360" s="647" t="s">
        <v>224</v>
      </c>
    </row>
    <row r="361" spans="3:3">
      <c r="C361" s="647" t="s">
        <v>223</v>
      </c>
    </row>
    <row r="362" spans="3:3">
      <c r="C362" s="647" t="s">
        <v>222</v>
      </c>
    </row>
    <row r="363" spans="3:3" ht="15.75" thickBot="1">
      <c r="C363" s="646" t="str">
        <f>IF(Indice_index!$Z$1=1,"P014 - Saúde","P014 - Health")</f>
        <v>P014 - Saúde</v>
      </c>
    </row>
    <row r="364" spans="3:3">
      <c r="C364" s="647" t="s">
        <v>221</v>
      </c>
    </row>
    <row r="365" spans="3:3">
      <c r="C365" s="647" t="s">
        <v>220</v>
      </c>
    </row>
    <row r="366" spans="3:3">
      <c r="C366" s="647" t="s">
        <v>219</v>
      </c>
    </row>
    <row r="367" spans="3:3">
      <c r="C367" s="647" t="s">
        <v>218</v>
      </c>
    </row>
    <row r="368" spans="3:3">
      <c r="C368" s="647" t="s">
        <v>217</v>
      </c>
    </row>
    <row r="369" spans="3:3">
      <c r="C369" s="647" t="s">
        <v>216</v>
      </c>
    </row>
    <row r="370" spans="3:3">
      <c r="C370" s="647" t="s">
        <v>215</v>
      </c>
    </row>
    <row r="371" spans="3:3">
      <c r="C371" s="647" t="s">
        <v>568</v>
      </c>
    </row>
    <row r="372" spans="3:3">
      <c r="C372" s="647" t="s">
        <v>214</v>
      </c>
    </row>
    <row r="373" spans="3:3">
      <c r="C373" s="647" t="s">
        <v>213</v>
      </c>
    </row>
    <row r="374" spans="3:3">
      <c r="C374" s="647" t="s">
        <v>212</v>
      </c>
    </row>
    <row r="375" spans="3:3">
      <c r="C375" s="647" t="s">
        <v>211</v>
      </c>
    </row>
    <row r="376" spans="3:3">
      <c r="C376" s="647" t="s">
        <v>210</v>
      </c>
    </row>
    <row r="377" spans="3:3">
      <c r="C377" s="647" t="s">
        <v>209</v>
      </c>
    </row>
    <row r="378" spans="3:3">
      <c r="C378" s="647" t="s">
        <v>208</v>
      </c>
    </row>
    <row r="379" spans="3:3">
      <c r="C379" s="647" t="s">
        <v>207</v>
      </c>
    </row>
    <row r="380" spans="3:3">
      <c r="C380" s="647" t="s">
        <v>206</v>
      </c>
    </row>
    <row r="381" spans="3:3">
      <c r="C381" s="647" t="s">
        <v>205</v>
      </c>
    </row>
    <row r="382" spans="3:3">
      <c r="C382" s="647" t="s">
        <v>204</v>
      </c>
    </row>
    <row r="383" spans="3:3">
      <c r="C383" s="647" t="s">
        <v>203</v>
      </c>
    </row>
    <row r="384" spans="3:3">
      <c r="C384" s="647" t="s">
        <v>202</v>
      </c>
    </row>
    <row r="385" spans="3:3">
      <c r="C385" s="647" t="s">
        <v>201</v>
      </c>
    </row>
    <row r="386" spans="3:3">
      <c r="C386" s="647" t="s">
        <v>200</v>
      </c>
    </row>
    <row r="387" spans="3:3">
      <c r="C387" s="647" t="s">
        <v>199</v>
      </c>
    </row>
    <row r="388" spans="3:3">
      <c r="C388" s="647" t="s">
        <v>567</v>
      </c>
    </row>
    <row r="389" spans="3:3">
      <c r="C389" s="647" t="s">
        <v>198</v>
      </c>
    </row>
    <row r="390" spans="3:3">
      <c r="C390" s="647" t="s">
        <v>197</v>
      </c>
    </row>
    <row r="391" spans="3:3">
      <c r="C391" s="647" t="s">
        <v>196</v>
      </c>
    </row>
    <row r="392" spans="3:3">
      <c r="C392" s="647" t="s">
        <v>195</v>
      </c>
    </row>
    <row r="393" spans="3:3">
      <c r="C393" s="647" t="s">
        <v>194</v>
      </c>
    </row>
    <row r="394" spans="3:3">
      <c r="C394" s="647" t="s">
        <v>193</v>
      </c>
    </row>
    <row r="395" spans="3:3">
      <c r="C395" s="647" t="s">
        <v>569</v>
      </c>
    </row>
    <row r="396" spans="3:3">
      <c r="C396" s="647" t="s">
        <v>192</v>
      </c>
    </row>
    <row r="397" spans="3:3">
      <c r="C397" s="647" t="s">
        <v>191</v>
      </c>
    </row>
    <row r="398" spans="3:3">
      <c r="C398" s="647" t="s">
        <v>190</v>
      </c>
    </row>
    <row r="399" spans="3:3">
      <c r="C399" s="647" t="s">
        <v>189</v>
      </c>
    </row>
    <row r="400" spans="3:3">
      <c r="C400" s="647" t="s">
        <v>188</v>
      </c>
    </row>
    <row r="401" spans="3:3">
      <c r="C401" s="647" t="s">
        <v>570</v>
      </c>
    </row>
    <row r="402" spans="3:3">
      <c r="C402" s="647" t="s">
        <v>187</v>
      </c>
    </row>
    <row r="403" spans="3:3">
      <c r="C403" s="647" t="s">
        <v>186</v>
      </c>
    </row>
    <row r="404" spans="3:3">
      <c r="C404" s="647" t="s">
        <v>185</v>
      </c>
    </row>
    <row r="405" spans="3:3">
      <c r="C405" s="647" t="s">
        <v>184</v>
      </c>
    </row>
    <row r="406" spans="3:3">
      <c r="C406" s="647" t="s">
        <v>183</v>
      </c>
    </row>
    <row r="407" spans="3:3">
      <c r="C407" s="647" t="s">
        <v>182</v>
      </c>
    </row>
    <row r="408" spans="3:3">
      <c r="C408" s="647" t="s">
        <v>181</v>
      </c>
    </row>
    <row r="409" spans="3:3">
      <c r="C409" s="647" t="s">
        <v>180</v>
      </c>
    </row>
    <row r="410" spans="3:3">
      <c r="C410" s="647" t="s">
        <v>179</v>
      </c>
    </row>
    <row r="411" spans="3:3">
      <c r="C411" s="647" t="s">
        <v>178</v>
      </c>
    </row>
    <row r="412" spans="3:3">
      <c r="C412" s="647" t="s">
        <v>177</v>
      </c>
    </row>
    <row r="413" spans="3:3">
      <c r="C413" s="647" t="s">
        <v>176</v>
      </c>
    </row>
    <row r="414" spans="3:3">
      <c r="C414" s="647" t="s">
        <v>175</v>
      </c>
    </row>
    <row r="415" spans="3:3">
      <c r="C415" s="647" t="s">
        <v>174</v>
      </c>
    </row>
    <row r="416" spans="3:3">
      <c r="C416" s="647" t="s">
        <v>173</v>
      </c>
    </row>
    <row r="417" spans="3:3">
      <c r="C417" s="647" t="s">
        <v>172</v>
      </c>
    </row>
    <row r="418" spans="3:3">
      <c r="C418" s="647" t="s">
        <v>171</v>
      </c>
    </row>
    <row r="419" spans="3:3">
      <c r="C419" s="647" t="s">
        <v>170</v>
      </c>
    </row>
    <row r="420" spans="3:3">
      <c r="C420" s="647" t="s">
        <v>169</v>
      </c>
    </row>
    <row r="421" spans="3:3">
      <c r="C421" s="647" t="s">
        <v>168</v>
      </c>
    </row>
    <row r="422" spans="3:3">
      <c r="C422" s="647" t="s">
        <v>167</v>
      </c>
    </row>
    <row r="423" spans="3:3">
      <c r="C423" s="647" t="s">
        <v>166</v>
      </c>
    </row>
    <row r="424" spans="3:3">
      <c r="C424" s="647" t="s">
        <v>165</v>
      </c>
    </row>
    <row r="425" spans="3:3">
      <c r="C425" s="647" t="s">
        <v>164</v>
      </c>
    </row>
    <row r="426" spans="3:3">
      <c r="C426" s="647" t="s">
        <v>163</v>
      </c>
    </row>
    <row r="427" spans="3:3">
      <c r="C427" s="647" t="s">
        <v>162</v>
      </c>
    </row>
    <row r="428" spans="3:3">
      <c r="C428" s="647" t="s">
        <v>161</v>
      </c>
    </row>
    <row r="429" spans="3:3">
      <c r="C429" s="647" t="s">
        <v>160</v>
      </c>
    </row>
    <row r="430" spans="3:3">
      <c r="C430" s="647" t="s">
        <v>159</v>
      </c>
    </row>
    <row r="431" spans="3:3" ht="15.75" thickBot="1">
      <c r="C431" s="646" t="str">
        <f>IF(Indice_index!$Z$1=1,"P015 - Ambiente e Ação Climática","P015 -  Environment and Climate Action")</f>
        <v>P015 - Ambiente e Ação Climática</v>
      </c>
    </row>
    <row r="432" spans="3:3">
      <c r="C432" s="647" t="s">
        <v>158</v>
      </c>
    </row>
    <row r="433" spans="3:3">
      <c r="C433" s="647" t="s">
        <v>157</v>
      </c>
    </row>
    <row r="434" spans="3:3">
      <c r="C434" s="647" t="s">
        <v>156</v>
      </c>
    </row>
    <row r="435" spans="3:3">
      <c r="C435" s="647" t="s">
        <v>155</v>
      </c>
    </row>
    <row r="436" spans="3:3">
      <c r="C436" s="647" t="s">
        <v>154</v>
      </c>
    </row>
    <row r="437" spans="3:3">
      <c r="C437" s="647" t="s">
        <v>153</v>
      </c>
    </row>
    <row r="438" spans="3:3">
      <c r="C438" s="647" t="s">
        <v>152</v>
      </c>
    </row>
    <row r="439" spans="3:3">
      <c r="C439" s="647" t="s">
        <v>151</v>
      </c>
    </row>
    <row r="440" spans="3:3">
      <c r="C440" s="647" t="s">
        <v>149</v>
      </c>
    </row>
    <row r="441" spans="3:3">
      <c r="C441" s="647" t="s">
        <v>148</v>
      </c>
    </row>
    <row r="442" spans="3:3">
      <c r="C442" s="647" t="s">
        <v>147</v>
      </c>
    </row>
    <row r="443" spans="3:3">
      <c r="C443" s="647" t="s">
        <v>146</v>
      </c>
    </row>
    <row r="444" spans="3:3">
      <c r="C444" s="647" t="s">
        <v>589</v>
      </c>
    </row>
    <row r="445" spans="3:3">
      <c r="C445" s="647" t="s">
        <v>590</v>
      </c>
    </row>
    <row r="446" spans="3:3">
      <c r="C446" s="647" t="s">
        <v>591</v>
      </c>
    </row>
    <row r="447" spans="3:3">
      <c r="C447" s="647" t="s">
        <v>145</v>
      </c>
    </row>
    <row r="448" spans="3:3">
      <c r="C448" s="647" t="s">
        <v>144</v>
      </c>
    </row>
    <row r="449" spans="3:3">
      <c r="C449" s="647" t="s">
        <v>143</v>
      </c>
    </row>
    <row r="450" spans="3:3">
      <c r="C450" s="647" t="s">
        <v>142</v>
      </c>
    </row>
    <row r="451" spans="3:3">
      <c r="C451" s="647" t="s">
        <v>141</v>
      </c>
    </row>
    <row r="452" spans="3:3">
      <c r="C452" s="647" t="s">
        <v>140</v>
      </c>
    </row>
    <row r="453" spans="3:3">
      <c r="C453" s="647" t="s">
        <v>139</v>
      </c>
    </row>
    <row r="454" spans="3:3">
      <c r="C454" s="647" t="s">
        <v>138</v>
      </c>
    </row>
    <row r="455" spans="3:3">
      <c r="C455" s="647" t="s">
        <v>137</v>
      </c>
    </row>
    <row r="456" spans="3:3">
      <c r="C456" s="647" t="s">
        <v>136</v>
      </c>
    </row>
    <row r="457" spans="3:3">
      <c r="C457" s="647" t="s">
        <v>135</v>
      </c>
    </row>
    <row r="458" spans="3:3" ht="15" customHeight="1">
      <c r="C458" s="647" t="s">
        <v>576</v>
      </c>
    </row>
    <row r="459" spans="3:3">
      <c r="C459" s="647" t="s">
        <v>134</v>
      </c>
    </row>
    <row r="460" spans="3:3">
      <c r="C460" s="647" t="s">
        <v>133</v>
      </c>
    </row>
    <row r="461" spans="3:3">
      <c r="C461" s="647" t="s">
        <v>132</v>
      </c>
    </row>
    <row r="462" spans="3:3">
      <c r="C462" s="647" t="s">
        <v>131</v>
      </c>
    </row>
    <row r="463" spans="3:3" ht="15.75" thickBot="1">
      <c r="C463" s="646" t="str">
        <f>IF(Indice_index!$Z$1=1,"P016 - Infraestruturas e Habitação","P016 - Infrastructures and Housing")</f>
        <v>P016 - Infraestruturas e Habitação</v>
      </c>
    </row>
    <row r="464" spans="3:3">
      <c r="C464" s="647" t="s">
        <v>130</v>
      </c>
    </row>
    <row r="465" spans="3:3">
      <c r="C465" s="647" t="s">
        <v>129</v>
      </c>
    </row>
    <row r="466" spans="3:3">
      <c r="C466" s="647" t="s">
        <v>128</v>
      </c>
    </row>
    <row r="467" spans="3:3">
      <c r="C467" s="647" t="s">
        <v>127</v>
      </c>
    </row>
    <row r="468" spans="3:3">
      <c r="C468" s="647" t="s">
        <v>126</v>
      </c>
    </row>
    <row r="469" spans="3:3">
      <c r="C469" s="647" t="s">
        <v>125</v>
      </c>
    </row>
    <row r="470" spans="3:3">
      <c r="C470" s="647" t="s">
        <v>124</v>
      </c>
    </row>
    <row r="471" spans="3:3">
      <c r="C471" s="647" t="s">
        <v>123</v>
      </c>
    </row>
    <row r="472" spans="3:3">
      <c r="C472" s="647" t="s">
        <v>122</v>
      </c>
    </row>
    <row r="473" spans="3:3">
      <c r="C473" s="647" t="s">
        <v>121</v>
      </c>
    </row>
    <row r="474" spans="3:3">
      <c r="C474" s="647" t="s">
        <v>120</v>
      </c>
    </row>
    <row r="475" spans="3:3">
      <c r="C475" s="647" t="s">
        <v>571</v>
      </c>
    </row>
    <row r="476" spans="3:3">
      <c r="C476" s="647" t="s">
        <v>119</v>
      </c>
    </row>
    <row r="477" spans="3:3">
      <c r="C477" s="647" t="s">
        <v>118</v>
      </c>
    </row>
    <row r="478" spans="3:3">
      <c r="C478" s="647" t="s">
        <v>117</v>
      </c>
    </row>
    <row r="479" spans="3:3">
      <c r="C479" s="647" t="s">
        <v>116</v>
      </c>
    </row>
    <row r="480" spans="3:3" ht="15.75" thickBot="1">
      <c r="C480" s="646" t="str">
        <f>IF(Indice_index!$Z$1=1,"P017 - Agricultura e Alimentação","P017 - Agriculture and Food")</f>
        <v>P017 - Agricultura e Alimentação</v>
      </c>
    </row>
    <row r="481" spans="3:3">
      <c r="C481" s="647" t="s">
        <v>572</v>
      </c>
    </row>
    <row r="482" spans="3:3">
      <c r="C482" s="647" t="s">
        <v>100</v>
      </c>
    </row>
    <row r="483" spans="3:3">
      <c r="C483" s="647" t="s">
        <v>115</v>
      </c>
    </row>
    <row r="484" spans="3:3">
      <c r="C484" s="647" t="s">
        <v>114</v>
      </c>
    </row>
    <row r="485" spans="3:3">
      <c r="C485" s="647" t="s">
        <v>113</v>
      </c>
    </row>
    <row r="486" spans="3:3">
      <c r="C486" s="647" t="s">
        <v>112</v>
      </c>
    </row>
    <row r="487" spans="3:3">
      <c r="C487" s="647" t="s">
        <v>111</v>
      </c>
    </row>
    <row r="488" spans="3:3">
      <c r="C488" s="647" t="s">
        <v>110</v>
      </c>
    </row>
    <row r="489" spans="3:3">
      <c r="C489" s="647" t="s">
        <v>109</v>
      </c>
    </row>
    <row r="490" spans="3:3">
      <c r="C490" s="647" t="s">
        <v>98</v>
      </c>
    </row>
    <row r="491" spans="3:3">
      <c r="C491" s="647" t="s">
        <v>108</v>
      </c>
    </row>
    <row r="492" spans="3:3">
      <c r="C492" s="647" t="s">
        <v>107</v>
      </c>
    </row>
    <row r="493" spans="3:3">
      <c r="C493" s="647" t="s">
        <v>95</v>
      </c>
    </row>
    <row r="494" spans="3:3">
      <c r="C494" s="647" t="s">
        <v>106</v>
      </c>
    </row>
    <row r="495" spans="3:3">
      <c r="C495" s="647" t="s">
        <v>105</v>
      </c>
    </row>
    <row r="496" spans="3:3">
      <c r="C496" s="647" t="s">
        <v>104</v>
      </c>
    </row>
    <row r="497" spans="3:3">
      <c r="C497" s="647" t="s">
        <v>103</v>
      </c>
    </row>
    <row r="498" spans="3:3">
      <c r="C498" s="647" t="s">
        <v>102</v>
      </c>
    </row>
    <row r="499" spans="3:3">
      <c r="C499" s="647" t="s">
        <v>101</v>
      </c>
    </row>
    <row r="500" spans="3:3">
      <c r="C500" s="647" t="s">
        <v>94</v>
      </c>
    </row>
    <row r="501" spans="3:3" ht="8.25" customHeight="1">
      <c r="C501" s="246"/>
    </row>
    <row r="502" spans="3:3" ht="8.25" customHeight="1">
      <c r="C502" s="246"/>
    </row>
    <row r="503" spans="3:3">
      <c r="C503" s="648" t="str">
        <f>IF(Indice_index!$Z$1=1,"Notas:","Notes:")</f>
        <v>Notas:</v>
      </c>
    </row>
    <row r="504" spans="3:3">
      <c r="C504" s="649" t="s">
        <v>575</v>
      </c>
    </row>
    <row r="505" spans="3:3" ht="8.25" customHeight="1">
      <c r="C505" s="246"/>
    </row>
    <row r="506" spans="3:3">
      <c r="C506" s="650" t="str">
        <f>IF(Indice_index!$Z$1=1,"Alterações:","Changes:")</f>
        <v>Alterações:</v>
      </c>
    </row>
    <row r="507" spans="3:3">
      <c r="C507" s="651" t="s">
        <v>573</v>
      </c>
    </row>
    <row r="508" spans="3:3" ht="18" customHeight="1">
      <c r="C508" s="652" t="s">
        <v>574</v>
      </c>
    </row>
    <row r="509" spans="3:3">
      <c r="C509" s="680" t="s">
        <v>583</v>
      </c>
    </row>
    <row r="510" spans="3:3" ht="30.75" customHeight="1">
      <c r="C510" s="703" t="s">
        <v>592</v>
      </c>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5" fitToHeight="8"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8"/>
  <sheetViews>
    <sheetView showGridLines="0" zoomScaleNormal="100" zoomScaleSheetLayoutView="100" workbookViewId="0">
      <selection activeCell="B2" sqref="B2"/>
    </sheetView>
  </sheetViews>
  <sheetFormatPr defaultColWidth="8.85546875" defaultRowHeight="15"/>
  <cols>
    <col min="1" max="1" width="3.42578125" style="488" customWidth="1"/>
    <col min="2" max="2" width="4.42578125" style="488" customWidth="1"/>
    <col min="3" max="3" width="1.42578125" style="488" customWidth="1"/>
    <col min="4" max="5" width="3.85546875" style="488" customWidth="1"/>
    <col min="6" max="6" width="2.42578125" style="488" customWidth="1"/>
    <col min="7" max="7" width="32.42578125" style="488" customWidth="1"/>
    <col min="8" max="15" width="9.5703125" style="488" customWidth="1"/>
    <col min="16" max="20" width="8.85546875" style="488"/>
    <col min="21" max="22" width="10" style="489" customWidth="1"/>
    <col min="23" max="16384" width="8.85546875" style="488"/>
  </cols>
  <sheetData>
    <row r="1" spans="2:22" ht="15" customHeight="1"/>
    <row r="2" spans="2:22" ht="24" customHeight="1">
      <c r="B2" s="8"/>
      <c r="C2" s="500" t="str">
        <f>IF(Indice_index!$Z$1=1,"1 - Receita, despesa e saldo das Administrações Públicas","1 - General Government revenue, expenditure and balance")</f>
        <v>1 - Receita, despesa e saldo das Administrações Públicas</v>
      </c>
      <c r="D2" s="500"/>
      <c r="E2" s="500"/>
      <c r="F2" s="500"/>
      <c r="G2" s="500"/>
      <c r="H2" s="498"/>
      <c r="I2" s="498"/>
      <c r="J2" s="499"/>
      <c r="K2" s="498"/>
      <c r="L2" s="498"/>
      <c r="M2" s="498"/>
      <c r="N2" s="498"/>
      <c r="O2" s="498"/>
      <c r="P2" s="497"/>
      <c r="U2" s="497"/>
      <c r="V2" s="497"/>
    </row>
    <row r="3" spans="2:22" s="17" customFormat="1" ht="15" customHeight="1">
      <c r="C3" s="496"/>
      <c r="H3" s="488"/>
      <c r="I3" s="488"/>
      <c r="K3" s="488"/>
      <c r="L3" s="488"/>
      <c r="M3" s="488"/>
      <c r="N3" s="488"/>
      <c r="O3" s="488"/>
      <c r="U3" s="489"/>
      <c r="V3" s="489"/>
    </row>
    <row r="4" spans="2:22" s="494" customFormat="1" ht="15" customHeight="1">
      <c r="U4" s="495"/>
      <c r="V4" s="495"/>
    </row>
    <row r="5" spans="2:22" s="511" customFormat="1" ht="15" customHeight="1">
      <c r="B5" s="510"/>
      <c r="C5" s="690" t="str">
        <f>+'5 - Conta AC + SS'!C5</f>
        <v>Período: janeiro a dezembro</v>
      </c>
      <c r="D5" s="1451"/>
      <c r="E5" s="1451"/>
      <c r="F5" s="1451"/>
      <c r="G5" s="1451"/>
      <c r="H5" s="1452"/>
      <c r="I5" s="1452"/>
      <c r="J5" s="1452"/>
      <c r="K5" s="1452"/>
      <c r="L5" s="1452"/>
      <c r="M5" s="1452"/>
      <c r="N5" s="1453"/>
      <c r="O5" s="1454" t="str">
        <f>IF(Indice_index!$Z$1=1,"€ Milhões","€ Millions")</f>
        <v>€ Milhões</v>
      </c>
      <c r="U5" s="249"/>
      <c r="V5" s="249"/>
    </row>
    <row r="6" spans="2:22" s="511" customFormat="1" ht="23.25" customHeight="1">
      <c r="B6" s="512"/>
      <c r="C6" s="1455"/>
      <c r="D6" s="1455"/>
      <c r="E6" s="1455"/>
      <c r="F6" s="1455"/>
      <c r="G6" s="1455"/>
      <c r="H6" s="1671" t="str">
        <f>IF(Indice_index!$Z$1=1,"Saldo","Overall balance")</f>
        <v>Saldo</v>
      </c>
      <c r="I6" s="1671"/>
      <c r="J6" s="1671" t="str">
        <f>IF(Indice_index!$Z$1=1,"Receita","Revenue")</f>
        <v>Receita</v>
      </c>
      <c r="K6" s="1671"/>
      <c r="L6" s="1671" t="str">
        <f>IF(Indice_index!$Z$1=1,"Despesa","Expenditure")</f>
        <v>Despesa</v>
      </c>
      <c r="M6" s="1671"/>
      <c r="N6" s="1672" t="str">
        <f>IF(Indice_index!$Z$1=1,"Variação Homóloga Acumulada (%)","YOY Change Rate (%)")</f>
        <v>Variação Homóloga Acumulada (%)</v>
      </c>
      <c r="O6" s="1673"/>
      <c r="U6" s="1670"/>
      <c r="V6" s="1670"/>
    </row>
    <row r="7" spans="2:22" s="494" customFormat="1" ht="16.350000000000001" customHeight="1">
      <c r="B7" s="513"/>
      <c r="C7" s="1456"/>
      <c r="D7" s="1456"/>
      <c r="E7" s="1456"/>
      <c r="F7" s="1456"/>
      <c r="G7" s="1456"/>
      <c r="H7" s="1457" t="str">
        <f>IF(Indice_index!$Z$1=1,"2021","2021")</f>
        <v>2021</v>
      </c>
      <c r="I7" s="1457" t="str">
        <f>IF(Indice_index!$Z$1=1,"2022","2022")</f>
        <v>2022</v>
      </c>
      <c r="J7" s="1457" t="str">
        <f>IF(Indice_index!$Z$1=1,"2021","2022")</f>
        <v>2021</v>
      </c>
      <c r="K7" s="1457" t="str">
        <f>IF(Indice_index!$Z$1=1,"2022","2022")</f>
        <v>2022</v>
      </c>
      <c r="L7" s="1457" t="str">
        <f>IF(Indice_index!$Z$1=1,"2021","2021")</f>
        <v>2021</v>
      </c>
      <c r="M7" s="1457" t="str">
        <f>IF(Indice_index!$Z$1=1,"2022","2022")</f>
        <v>2022</v>
      </c>
      <c r="N7" s="1458" t="str">
        <f>IF(Indice_index!$Z$1=1,"Receita","Revenue")</f>
        <v>Receita</v>
      </c>
      <c r="O7" s="1459" t="str">
        <f>IF(Indice_index!$Z$1=1,"Despesa","Expenditure")</f>
        <v>Despesa</v>
      </c>
      <c r="U7" s="514"/>
      <c r="V7" s="514"/>
    </row>
    <row r="8" spans="2:22" s="494" customFormat="1" ht="15" customHeight="1">
      <c r="B8" s="515"/>
      <c r="C8" s="1460"/>
      <c r="D8" s="1460" t="str">
        <f>IF(Indice_index!$Z$1=1,"Administração Central e Segurança Social","Central Government and Social Security")</f>
        <v>Administração Central e Segurança Social</v>
      </c>
      <c r="E8" s="1460"/>
      <c r="F8" s="1460"/>
      <c r="G8" s="1460"/>
      <c r="H8" s="1461">
        <f t="shared" ref="H8:H16" si="0">+J8-L8</f>
        <v>-8294.4546959600557</v>
      </c>
      <c r="I8" s="1461">
        <f t="shared" ref="I8:I16" si="1">+K8-M8</f>
        <v>-3730.0522999899986</v>
      </c>
      <c r="J8" s="1461">
        <f>+'5 - Conta AC + SS'!F27</f>
        <v>84171.177965049981</v>
      </c>
      <c r="K8" s="1461">
        <f>+'5 - Conta AC + SS'!G27</f>
        <v>93691.169000289985</v>
      </c>
      <c r="L8" s="1461">
        <f>+'5 - Conta AC + SS'!F50</f>
        <v>92465.632661010037</v>
      </c>
      <c r="M8" s="1461">
        <f>+'5 - Conta AC + SS'!G50</f>
        <v>97421.221300279984</v>
      </c>
      <c r="N8" s="1462">
        <f t="shared" ref="N8:N16" si="2">+IFERROR((K8-J8)/J8*100,"-")</f>
        <v>11.310274211907723</v>
      </c>
      <c r="O8" s="1462">
        <f t="shared" ref="O8:O16" si="3">+IFERROR((M8-L8)/L8*100,"-")</f>
        <v>5.3593843427619445</v>
      </c>
      <c r="U8" s="516"/>
      <c r="V8" s="516"/>
    </row>
    <row r="9" spans="2:22" s="494" customFormat="1" ht="15" customHeight="1">
      <c r="B9" s="515"/>
      <c r="C9" s="1463"/>
      <c r="D9" s="1463"/>
      <c r="E9" s="1464" t="str">
        <f>IF(Indice_index!$Z$1=1,"Administração Central (AC)","Central Government (CG)")</f>
        <v>Administração Central (AC)</v>
      </c>
      <c r="F9" s="1464"/>
      <c r="G9" s="1464"/>
      <c r="H9" s="1465">
        <f t="shared" si="0"/>
        <v>-10622.719730020035</v>
      </c>
      <c r="I9" s="1465">
        <f t="shared" si="1"/>
        <v>-7795.903650999986</v>
      </c>
      <c r="J9" s="1465">
        <f>+'6 - Conta AC'!F26</f>
        <v>63843.743180489997</v>
      </c>
      <c r="K9" s="1465">
        <f>+'6 - Conta AC'!G26</f>
        <v>71058.90832254001</v>
      </c>
      <c r="L9" s="1465">
        <f>+'6 - Conta AC'!F49</f>
        <v>74466.462910510032</v>
      </c>
      <c r="M9" s="1465">
        <f>+'6 - Conta AC'!G49</f>
        <v>78854.811973539996</v>
      </c>
      <c r="N9" s="1466">
        <f t="shared" si="2"/>
        <v>11.301287773262791</v>
      </c>
      <c r="O9" s="1466">
        <f t="shared" si="3"/>
        <v>5.8930542575973517</v>
      </c>
      <c r="Q9" s="517"/>
      <c r="U9" s="516"/>
      <c r="V9" s="516"/>
    </row>
    <row r="10" spans="2:22" s="494" customFormat="1" ht="15" customHeight="1">
      <c r="B10" s="515"/>
      <c r="C10" s="1463"/>
      <c r="D10" s="1463"/>
      <c r="E10" s="1463"/>
      <c r="F10" s="1467" t="str">
        <f>IF(Indice_index!$Z$1=1,"Subsetor Estado / Serviços integrados","State subsector")</f>
        <v>Subsetor Estado / Serviços integrados</v>
      </c>
      <c r="G10" s="1467"/>
      <c r="H10" s="1468">
        <f t="shared" si="0"/>
        <v>-9471.3255157399763</v>
      </c>
      <c r="I10" s="1468">
        <f t="shared" si="1"/>
        <v>-6033.9918892299975</v>
      </c>
      <c r="J10" s="1468">
        <f>+'7 - Estado'!F32</f>
        <v>50074.131406090004</v>
      </c>
      <c r="K10" s="1468">
        <f>+'7 - Estado'!G32</f>
        <v>56879.288298299994</v>
      </c>
      <c r="L10" s="1468">
        <f>+'7 - Estado'!F59</f>
        <v>59545.45692182998</v>
      </c>
      <c r="M10" s="1468">
        <f>+'7 - Estado'!G59</f>
        <v>62913.280187529992</v>
      </c>
      <c r="N10" s="1469">
        <f t="shared" si="2"/>
        <v>13.590164624168297</v>
      </c>
      <c r="O10" s="1469">
        <f t="shared" si="3"/>
        <v>5.6558861746937623</v>
      </c>
      <c r="Q10" s="517"/>
      <c r="U10" s="518"/>
      <c r="V10" s="518"/>
    </row>
    <row r="11" spans="2:22" s="494" customFormat="1" ht="15" customHeight="1">
      <c r="B11" s="515"/>
      <c r="C11" s="1463"/>
      <c r="D11" s="1463"/>
      <c r="E11" s="1463"/>
      <c r="F11" s="1470" t="str">
        <f>IF(Indice_index!$Z$1=1,"Serviços e Fundos Autónomos","Autonomous Services and Funds")</f>
        <v>Serviços e Fundos Autónomos</v>
      </c>
      <c r="G11" s="1470"/>
      <c r="H11" s="1468">
        <f t="shared" si="0"/>
        <v>-1151.3942142800588</v>
      </c>
      <c r="I11" s="1468">
        <f t="shared" si="1"/>
        <v>-1761.9117617699885</v>
      </c>
      <c r="J11" s="1468">
        <f>+'9 - SFA'!F32</f>
        <v>36037.332145149994</v>
      </c>
      <c r="K11" s="1468">
        <f>+'9 - SFA'!G32</f>
        <v>39377.293402409996</v>
      </c>
      <c r="L11" s="1468">
        <f>+'9 - SFA'!F59</f>
        <v>37188.726359430053</v>
      </c>
      <c r="M11" s="1468">
        <f>+'9 - SFA'!G59</f>
        <v>41139.205164179984</v>
      </c>
      <c r="N11" s="1469">
        <f t="shared" si="2"/>
        <v>9.2680591443545666</v>
      </c>
      <c r="O11" s="1469">
        <f t="shared" si="3"/>
        <v>10.622785966285713</v>
      </c>
      <c r="Q11" s="517"/>
      <c r="U11" s="518"/>
      <c r="V11" s="518"/>
    </row>
    <row r="12" spans="2:22" s="494" customFormat="1" ht="15" customHeight="1">
      <c r="B12" s="515"/>
      <c r="C12" s="1463"/>
      <c r="D12" s="1463"/>
      <c r="E12" s="1463"/>
      <c r="F12" s="1471"/>
      <c r="G12" s="1472" t="str">
        <f>IF(Indice_index!$Z$1=1,"do qual: Entidades Públicas Reclassificadas (EPR)","of which: CG reclassified State Owned Enterprises")</f>
        <v>do qual: Entidades Públicas Reclassificadas (EPR)</v>
      </c>
      <c r="H12" s="1473">
        <f t="shared" si="0"/>
        <v>-2112.3079573299892</v>
      </c>
      <c r="I12" s="1473">
        <f t="shared" si="1"/>
        <v>-1760.060820900002</v>
      </c>
      <c r="J12" s="1473">
        <f>+'10 - EPR'!F32</f>
        <v>11399.186993000001</v>
      </c>
      <c r="K12" s="1473">
        <f>+'10 - EPR'!G32</f>
        <v>12121.180810680002</v>
      </c>
      <c r="L12" s="1473">
        <f>+'10 - EPR'!F59</f>
        <v>13511.49495032999</v>
      </c>
      <c r="M12" s="1473">
        <f>+'10 - EPR'!G59</f>
        <v>13881.241631580004</v>
      </c>
      <c r="N12" s="1474">
        <f t="shared" si="2"/>
        <v>6.3337308013576896</v>
      </c>
      <c r="O12" s="1474">
        <f t="shared" si="3"/>
        <v>2.7365342074230141</v>
      </c>
      <c r="Q12" s="517"/>
      <c r="U12" s="519"/>
      <c r="V12" s="519"/>
    </row>
    <row r="13" spans="2:22" s="494" customFormat="1" ht="15" customHeight="1">
      <c r="C13" s="1475"/>
      <c r="D13" s="1475"/>
      <c r="E13" s="1464" t="str">
        <f>IF(Indice_index!$Z$1=1,"Segurança Social","Social Security")</f>
        <v>Segurança Social</v>
      </c>
      <c r="F13" s="1475"/>
      <c r="G13" s="1475"/>
      <c r="H13" s="1468">
        <f t="shared" si="0"/>
        <v>2328.2650340600048</v>
      </c>
      <c r="I13" s="1468">
        <f t="shared" si="1"/>
        <v>4065.8513510100056</v>
      </c>
      <c r="J13" s="1468">
        <f>+'13 - SS Eco'!F29</f>
        <v>33566.541879700002</v>
      </c>
      <c r="K13" s="1468">
        <f>+'13 - SS Eco'!G29</f>
        <v>35522.787421550012</v>
      </c>
      <c r="L13" s="1468">
        <f>+'13 - SS Eco'!F54</f>
        <v>31238.276845639997</v>
      </c>
      <c r="M13" s="1468">
        <f>+'13 - SS Eco'!G54</f>
        <v>31456.936070540007</v>
      </c>
      <c r="N13" s="1469">
        <f t="shared" si="2"/>
        <v>5.8279627042340234</v>
      </c>
      <c r="O13" s="1469">
        <f t="shared" si="3"/>
        <v>0.69997210787421638</v>
      </c>
      <c r="Q13" s="517"/>
      <c r="U13" s="518"/>
      <c r="V13" s="518"/>
    </row>
    <row r="14" spans="2:22" ht="15" customHeight="1">
      <c r="C14" s="1475"/>
      <c r="D14" s="1467" t="str">
        <f>IF(Indice_index!$Z$1=1,"Administração Regional","Regional Government")</f>
        <v>Administração Regional</v>
      </c>
      <c r="E14" s="1463"/>
      <c r="F14" s="1475"/>
      <c r="G14" s="1475"/>
      <c r="H14" s="1468">
        <f t="shared" si="0"/>
        <v>-353.99183683999991</v>
      </c>
      <c r="I14" s="1468">
        <f t="shared" si="1"/>
        <v>-277.42475501000035</v>
      </c>
      <c r="J14" s="1468">
        <f>'14 - Adm R'!J35</f>
        <v>2701.8523693899997</v>
      </c>
      <c r="K14" s="1468">
        <f>'14 - Adm R'!K35</f>
        <v>2678.28815562</v>
      </c>
      <c r="L14" s="1468">
        <f>'14 - Adm R'!J58</f>
        <v>3055.8442062299996</v>
      </c>
      <c r="M14" s="1468">
        <f>'14 - Adm R'!K58</f>
        <v>2955.7129106300004</v>
      </c>
      <c r="N14" s="1469">
        <f t="shared" si="2"/>
        <v>-0.872150308320503</v>
      </c>
      <c r="O14" s="1469">
        <f t="shared" si="3"/>
        <v>-3.2767146766140738</v>
      </c>
      <c r="P14" s="494"/>
      <c r="Q14" s="517"/>
      <c r="U14" s="518"/>
      <c r="V14" s="518"/>
    </row>
    <row r="15" spans="2:22" ht="15" customHeight="1">
      <c r="C15" s="1463"/>
      <c r="D15" s="1464" t="str">
        <f>IF(Indice_index!$Z$1=1,"Administração Local","Local Government")</f>
        <v>Administração Local</v>
      </c>
      <c r="E15" s="1464"/>
      <c r="F15" s="1464"/>
      <c r="G15" s="1464"/>
      <c r="H15" s="1468">
        <f t="shared" si="0"/>
        <v>39.531016250795801</v>
      </c>
      <c r="I15" s="1468">
        <f t="shared" si="1"/>
        <v>416.64414502745058</v>
      </c>
      <c r="J15" s="1468">
        <f>+'15 - Adm Loc'!D43</f>
        <v>9539.5524119623515</v>
      </c>
      <c r="K15" s="1468">
        <f>+'15 - Adm Loc'!E43</f>
        <v>10565.213290538872</v>
      </c>
      <c r="L15" s="1468">
        <f>+'15 - Adm Loc'!D64</f>
        <v>9500.0213957115557</v>
      </c>
      <c r="M15" s="1468">
        <f>+'15 - Adm Loc'!E64</f>
        <v>10148.569145511421</v>
      </c>
      <c r="N15" s="1469">
        <f t="shared" si="2"/>
        <v>10.751666685015202</v>
      </c>
      <c r="O15" s="1469">
        <f t="shared" si="3"/>
        <v>6.8268030437555538</v>
      </c>
      <c r="P15" s="494"/>
      <c r="Q15" s="517"/>
      <c r="U15" s="518"/>
      <c r="V15" s="518"/>
    </row>
    <row r="16" spans="2:22" s="511" customFormat="1" ht="15" customHeight="1">
      <c r="B16" s="510"/>
      <c r="C16" s="1476" t="str">
        <f>IF(Indice_index!$Z$1=1,"Administrações Públicas","General Government")</f>
        <v>Administrações Públicas</v>
      </c>
      <c r="D16" s="1476"/>
      <c r="E16" s="1476"/>
      <c r="F16" s="1476"/>
      <c r="G16" s="1476"/>
      <c r="H16" s="1477">
        <f t="shared" si="0"/>
        <v>-8608.915516549212</v>
      </c>
      <c r="I16" s="1477">
        <f t="shared" si="1"/>
        <v>-3590.8329099725961</v>
      </c>
      <c r="J16" s="1477">
        <f>'2 - Conta Consol AP'!K27</f>
        <v>91983.104710590953</v>
      </c>
      <c r="K16" s="1477">
        <f>'2 - Conta Consol AP'!Q27</f>
        <v>102114.96272199319</v>
      </c>
      <c r="L16" s="1477">
        <f>'2 - Conta Consol AP'!K50</f>
        <v>100592.02022714016</v>
      </c>
      <c r="M16" s="1477">
        <f>'2 - Conta Consol AP'!Q50</f>
        <v>105705.79563196578</v>
      </c>
      <c r="N16" s="1477">
        <f t="shared" si="2"/>
        <v>11.014911970280178</v>
      </c>
      <c r="O16" s="1477">
        <f t="shared" si="3"/>
        <v>5.0836789968812042</v>
      </c>
      <c r="Q16" s="520"/>
      <c r="U16" s="521"/>
      <c r="V16" s="521"/>
    </row>
    <row r="17" spans="3:22" ht="4.5" customHeight="1">
      <c r="C17" s="1478"/>
      <c r="D17" s="1478"/>
      <c r="E17" s="1478"/>
      <c r="F17" s="1478"/>
      <c r="G17" s="1478"/>
      <c r="H17" s="1478"/>
      <c r="I17" s="1478"/>
      <c r="J17" s="1478"/>
      <c r="K17" s="1478"/>
      <c r="L17" s="1478"/>
      <c r="M17" s="1478"/>
      <c r="N17" s="1478"/>
      <c r="O17" s="1478"/>
      <c r="U17" s="522"/>
      <c r="V17" s="522"/>
    </row>
    <row r="18" spans="3:22" ht="15" customHeight="1">
      <c r="C18" s="1479" t="str">
        <f>IF(Indice_index!$Z$1=1,"Nota:","Note:")</f>
        <v>Nota:</v>
      </c>
      <c r="D18" s="1464"/>
      <c r="E18" s="1464"/>
      <c r="F18" s="1464"/>
      <c r="G18" s="1464"/>
      <c r="H18" s="1480"/>
      <c r="I18" s="1480"/>
      <c r="J18" s="1480"/>
      <c r="K18" s="1480"/>
      <c r="L18" s="1480"/>
      <c r="M18" s="1480"/>
      <c r="N18" s="1480"/>
      <c r="O18" s="1480"/>
      <c r="P18" s="494"/>
      <c r="Q18" s="523"/>
      <c r="U18" s="521"/>
      <c r="V18" s="521"/>
    </row>
    <row r="19" spans="3:22" ht="21.75" customHeight="1">
      <c r="C19" s="1669"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Valores na ótica de caixa (Contabilidade Pública) não consolidados de fluxos inter-setoriais; divergências relativamente aos valores publicados em 2021 devem-se a atualizações de valores.</v>
      </c>
      <c r="D19" s="1669"/>
      <c r="E19" s="1669"/>
      <c r="F19" s="1669"/>
      <c r="G19" s="1669"/>
      <c r="H19" s="1669"/>
      <c r="I19" s="1669"/>
      <c r="J19" s="1669"/>
      <c r="K19" s="1669"/>
      <c r="L19" s="1669"/>
      <c r="M19" s="1669"/>
      <c r="N19" s="1669"/>
      <c r="O19" s="1669"/>
      <c r="U19" s="522"/>
      <c r="V19" s="522"/>
    </row>
    <row r="20" spans="3:22" ht="36" customHeight="1">
      <c r="C20" s="1669"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Os valores apresentados em dezembro de 2021 para os subsetores Estado, Serviços e Fundos Autónomos e Segurança Social dizem respeito à Conta Geral do Estado de 2021, enquanto que para a Adm. Regional diferem dos apresentados na CGE 2021 por refletirem informação mais atualizada, designadamente a disponibilizada nas Contas de Gerência de 2021.</v>
      </c>
      <c r="D20" s="1669"/>
      <c r="E20" s="1669"/>
      <c r="F20" s="1669"/>
      <c r="G20" s="1669"/>
      <c r="H20" s="1669"/>
      <c r="I20" s="1669"/>
      <c r="J20" s="1669"/>
      <c r="K20" s="1669"/>
      <c r="L20" s="1669"/>
      <c r="M20" s="1669"/>
      <c r="N20" s="1669"/>
      <c r="O20" s="1669"/>
      <c r="U20" s="522"/>
      <c r="V20" s="522"/>
    </row>
    <row r="21" spans="3:22" ht="15" customHeight="1">
      <c r="C21" s="135" t="str">
        <f>IF(Indice_index!$Z$1=1,"Fonte: Direção-Geral do Orçamento","Source: Budget General Directorate")</f>
        <v>Fonte: Direção-Geral do Orçamento</v>
      </c>
      <c r="D21" s="1464"/>
      <c r="E21" s="1464"/>
      <c r="F21" s="1464"/>
      <c r="G21" s="1464"/>
      <c r="H21" s="1466"/>
      <c r="I21" s="1481"/>
      <c r="J21" s="1464"/>
      <c r="K21" s="1464"/>
      <c r="L21" s="1464"/>
      <c r="M21" s="1466"/>
      <c r="N21" s="1481"/>
      <c r="O21" s="1481"/>
      <c r="U21" s="522"/>
      <c r="V21" s="18"/>
    </row>
    <row r="22" spans="3:22">
      <c r="C22" s="657"/>
      <c r="D22" s="657"/>
      <c r="E22" s="657"/>
      <c r="F22" s="657"/>
      <c r="G22" s="657"/>
      <c r="H22" s="657"/>
      <c r="I22" s="658"/>
      <c r="J22" s="657"/>
      <c r="K22" s="657"/>
      <c r="L22" s="657"/>
      <c r="M22" s="657"/>
      <c r="N22" s="657"/>
      <c r="O22" s="657"/>
    </row>
    <row r="24" spans="3:22">
      <c r="G24" s="493"/>
    </row>
    <row r="26" spans="3:22" s="490" customFormat="1">
      <c r="M26" s="492"/>
      <c r="U26" s="491"/>
      <c r="V26" s="491"/>
    </row>
    <row r="27" spans="3:22" s="490" customFormat="1">
      <c r="U27" s="491"/>
      <c r="V27" s="491"/>
    </row>
    <row r="28" spans="3:22" s="490" customFormat="1">
      <c r="U28" s="491"/>
      <c r="V28" s="491"/>
    </row>
  </sheetData>
  <mergeCells count="7">
    <mergeCell ref="C20:O20"/>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7" width="9.140625" style="17" customWidth="1"/>
    <col min="18" max="18" width="1.5703125" style="17" customWidth="1"/>
    <col min="19" max="19" width="9.5703125" style="17" customWidth="1"/>
    <col min="20" max="20" width="9.140625" style="17" customWidth="1"/>
    <col min="21" max="21" width="8.42578125" style="17" customWidth="1"/>
    <col min="22" max="22" width="9.140625" style="17" customWidth="1"/>
    <col min="23" max="23" width="8.42578125" style="17" customWidth="1"/>
    <col min="24" max="24" width="9.5703125" style="19" customWidth="1"/>
    <col min="25" max="28" width="7" style="19" customWidth="1"/>
    <col min="29" max="29" width="10.140625" style="19" customWidth="1"/>
    <col min="30" max="30" width="8.42578125" style="19" customWidth="1"/>
    <col min="31" max="31" width="7" style="19" customWidth="1"/>
    <col min="32" max="16384" width="9.140625" style="17"/>
  </cols>
  <sheetData>
    <row r="1" spans="2:31" ht="15" customHeight="1"/>
    <row r="2" spans="2:31"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9"/>
    </row>
    <row r="3" spans="2:31" ht="15" customHeight="1"/>
    <row r="4" spans="2:31" ht="15" customHeight="1"/>
    <row r="5" spans="2:31" s="524" customFormat="1" ht="15" customHeight="1">
      <c r="C5" s="690" t="str">
        <f>+'5 - Conta AC + SS'!C5</f>
        <v>Período: janeiro a dezembro</v>
      </c>
      <c r="D5" s="1482"/>
      <c r="E5" s="1209"/>
      <c r="F5" s="1482"/>
      <c r="G5" s="1483"/>
      <c r="H5" s="1484"/>
      <c r="I5" s="1483"/>
      <c r="J5" s="1483"/>
      <c r="K5" s="1485"/>
      <c r="L5" s="1485"/>
      <c r="M5" s="1483"/>
      <c r="N5" s="1484"/>
      <c r="O5" s="1483"/>
      <c r="P5" s="1483"/>
      <c r="Q5" s="1486"/>
      <c r="R5" s="1482"/>
      <c r="S5" s="1487" t="str">
        <f>IF(Indice_index!$Z$1=1,"€ Milhões","€ Millions")</f>
        <v>€ Milhões</v>
      </c>
      <c r="X5" s="525"/>
      <c r="Y5" s="525"/>
      <c r="Z5" s="525"/>
      <c r="AA5" s="525"/>
      <c r="AB5" s="525"/>
      <c r="AC5" s="525"/>
      <c r="AD5" s="525"/>
      <c r="AE5" s="525"/>
    </row>
    <row r="6" spans="2:31" s="526" customFormat="1" ht="25.35" customHeight="1">
      <c r="C6" s="1488"/>
      <c r="D6" s="1489"/>
      <c r="E6" s="1490" t="str">
        <f>IF(Indice_index!$Z$1=1,"CGE","Final execution")</f>
        <v>CGE</v>
      </c>
      <c r="F6" s="1491"/>
      <c r="G6" s="1675" t="str">
        <f>IF(Indice_index!$Z$1=1,"Execução Acumulada","Accumulated Execution")</f>
        <v>Execução Acumulada</v>
      </c>
      <c r="H6" s="1675"/>
      <c r="I6" s="1675"/>
      <c r="J6" s="1675"/>
      <c r="K6" s="1675"/>
      <c r="L6" s="1675"/>
      <c r="M6" s="1675"/>
      <c r="N6" s="1675"/>
      <c r="O6" s="1675"/>
      <c r="P6" s="1675"/>
      <c r="Q6" s="1675"/>
      <c r="R6" s="1491"/>
      <c r="S6" s="1492" t="str">
        <f>IF(Indice_index!$Z$1=1,"Orçamento Inicial","Budget")</f>
        <v>Orçamento Inicial</v>
      </c>
      <c r="X6" s="527"/>
      <c r="Y6" s="527"/>
      <c r="Z6" s="527"/>
      <c r="AA6" s="527"/>
      <c r="AB6" s="527"/>
      <c r="AC6" s="527"/>
      <c r="AD6" s="527"/>
      <c r="AE6" s="527"/>
    </row>
    <row r="7" spans="2:31" ht="15">
      <c r="C7" s="1493"/>
      <c r="D7" s="1494"/>
      <c r="E7" s="1495" t="s">
        <v>67</v>
      </c>
      <c r="F7" s="1496"/>
      <c r="G7" s="1677" t="s">
        <v>67</v>
      </c>
      <c r="H7" s="1677"/>
      <c r="I7" s="1677"/>
      <c r="J7" s="1677"/>
      <c r="K7" s="1677"/>
      <c r="L7" s="1497"/>
      <c r="M7" s="1677" t="s">
        <v>73</v>
      </c>
      <c r="N7" s="1677"/>
      <c r="O7" s="1677"/>
      <c r="P7" s="1677"/>
      <c r="Q7" s="1677"/>
      <c r="R7" s="1496"/>
      <c r="S7" s="1498" t="s">
        <v>73</v>
      </c>
      <c r="W7" s="528"/>
      <c r="X7" s="529"/>
      <c r="Y7" s="529"/>
      <c r="Z7" s="529"/>
      <c r="AA7" s="529"/>
      <c r="AB7" s="529"/>
      <c r="AC7" s="529"/>
      <c r="AD7" s="529"/>
      <c r="AE7" s="529"/>
    </row>
    <row r="8" spans="2:31" ht="42" customHeight="1">
      <c r="C8" s="1499"/>
      <c r="D8" s="1500"/>
      <c r="E8" s="1501" t="str">
        <f>IF(Indice_index!$Z$1=1,"Adm. Públicas","General Government")</f>
        <v>Adm. Públicas</v>
      </c>
      <c r="F8" s="1500"/>
      <c r="G8" s="1501" t="str">
        <f>IF(Indice_index!$Z$1=1,"Estado","State")</f>
        <v>Estado</v>
      </c>
      <c r="H8" s="1501" t="str">
        <f>IF(Indice_index!$Z$1=1,"Serviços e Fundos Autónomos","Autonomous Funds and Services")</f>
        <v>Serviços e Fundos Autónomos</v>
      </c>
      <c r="I8" s="1501" t="str">
        <f>IF(Indice_index!$Z$1=1,"Adm. Local e Regional","Local and Regional Government")</f>
        <v>Adm. Local e Regional</v>
      </c>
      <c r="J8" s="1501" t="str">
        <f>IF(Indice_index!$Z$1=1,"Segurança Social","Social Security")</f>
        <v>Segurança Social</v>
      </c>
      <c r="K8" s="1501" t="str">
        <f>IF(Indice_index!$Z$1=1,"Adm. Públicas","General Government")</f>
        <v>Adm. Públicas</v>
      </c>
      <c r="L8" s="1500"/>
      <c r="M8" s="1501" t="str">
        <f>IF(Indice_index!$Z$1=1,"Estado","State")</f>
        <v>Estado</v>
      </c>
      <c r="N8" s="1501" t="str">
        <f>IF(Indice_index!$Z$1=1,"Serviços e Fundos Autónomos","Autonomous Funds and Services")</f>
        <v>Serviços e Fundos Autónomos</v>
      </c>
      <c r="O8" s="1501" t="str">
        <f>IF(Indice_index!$Z$1=1,"Adm. Local e Regional","Local and Regional Government")</f>
        <v>Adm. Local e Regional</v>
      </c>
      <c r="P8" s="1501" t="str">
        <f>IF(Indice_index!$Z$1=1,"Segurança Social","Social Security")</f>
        <v>Segurança Social</v>
      </c>
      <c r="Q8" s="1501" t="str">
        <f>IF(Indice_index!$Z$1=1,"Adm. Públicas","General Government")</f>
        <v>Adm. Públicas</v>
      </c>
      <c r="R8" s="1500"/>
      <c r="S8" s="1501" t="str">
        <f>IF(Indice_index!$Z$1=1,"Adm. Públicas","General Government")</f>
        <v>Adm. Públicas</v>
      </c>
      <c r="W8" s="528"/>
      <c r="X8" s="1676"/>
      <c r="Y8" s="1676"/>
      <c r="Z8" s="1676"/>
      <c r="AA8" s="1676"/>
      <c r="AB8" s="1676"/>
      <c r="AC8" s="1676"/>
      <c r="AD8" s="1676"/>
      <c r="AE8" s="1676"/>
    </row>
    <row r="9" spans="2:31" s="526" customFormat="1" ht="15" customHeight="1">
      <c r="C9" s="318" t="str">
        <f>IF(Indice_index!$Z$1=1,"Receita corrente","Current revenue")</f>
        <v>Receita corrente</v>
      </c>
      <c r="D9" s="1502"/>
      <c r="E9" s="1503">
        <f>E10+E13+E14+E17+E18</f>
        <v>89765.995140224419</v>
      </c>
      <c r="F9" s="1493"/>
      <c r="G9" s="1503">
        <f>G10+G13+G14+G17+G18</f>
        <v>49989.363712130005</v>
      </c>
      <c r="H9" s="1503">
        <f t="shared" ref="H9:K9" si="0">H10+H13+H14+H17+H18</f>
        <v>33002.916678410031</v>
      </c>
      <c r="I9" s="1503">
        <f t="shared" si="0"/>
        <v>11375.025043037185</v>
      </c>
      <c r="J9" s="1503">
        <f t="shared" si="0"/>
        <v>33565.626426609997</v>
      </c>
      <c r="K9" s="1503">
        <f t="shared" si="0"/>
        <v>89809.938200867211</v>
      </c>
      <c r="L9" s="1503"/>
      <c r="M9" s="1503">
        <f>M10+M13+M14+M17+M18</f>
        <v>56510.411236439999</v>
      </c>
      <c r="N9" s="1503">
        <f t="shared" ref="N9" si="1">N10+N13+N14+N17+N18</f>
        <v>36562.763104599981</v>
      </c>
      <c r="O9" s="1503">
        <f t="shared" ref="O9" si="2">O10+O13+O14+O17+O18</f>
        <v>12705.785700747791</v>
      </c>
      <c r="P9" s="1503">
        <f t="shared" ref="P9" si="3">P10+P13+P14+P17+P18</f>
        <v>35521.604390499997</v>
      </c>
      <c r="Q9" s="1503">
        <f t="shared" ref="Q9" si="4">Q10+Q13+Q14+Q17+Q18</f>
        <v>99781.209300347764</v>
      </c>
      <c r="R9" s="1493"/>
      <c r="S9" s="1503">
        <f>S10+S13+S14+S17+S18</f>
        <v>96777.098562379237</v>
      </c>
      <c r="T9" s="531"/>
      <c r="U9" s="530"/>
      <c r="V9" s="531"/>
      <c r="W9" s="532"/>
      <c r="X9" s="533"/>
      <c r="Y9" s="533"/>
      <c r="Z9" s="533"/>
      <c r="AA9" s="533"/>
      <c r="AB9" s="533"/>
      <c r="AC9" s="533"/>
      <c r="AD9" s="533"/>
      <c r="AE9" s="533"/>
    </row>
    <row r="10" spans="2:31" ht="15" customHeight="1">
      <c r="C10" s="819" t="str">
        <f>IF(Indice_index!$Z$1=1,"Receita Fiscal","Tax")</f>
        <v>Receita Fiscal</v>
      </c>
      <c r="D10" s="674"/>
      <c r="E10" s="986">
        <f>E11+E12</f>
        <v>51432.173478075827</v>
      </c>
      <c r="F10" s="986"/>
      <c r="G10" s="986">
        <f t="shared" ref="G10:J10" si="5">G11+G12</f>
        <v>45591.223834090008</v>
      </c>
      <c r="H10" s="986">
        <f t="shared" si="5"/>
        <v>567.70099941000001</v>
      </c>
      <c r="I10" s="986">
        <f t="shared" si="5"/>
        <v>5063.7120823562855</v>
      </c>
      <c r="J10" s="986">
        <f t="shared" si="5"/>
        <v>212.25092951000002</v>
      </c>
      <c r="K10" s="986">
        <f>K11+K12</f>
        <v>51434.887845366291</v>
      </c>
      <c r="L10" s="986"/>
      <c r="M10" s="986">
        <f t="shared" ref="M10:P10" si="6">M11+M12</f>
        <v>52024.69118768</v>
      </c>
      <c r="N10" s="986">
        <f t="shared" si="6"/>
        <v>619.30700002999993</v>
      </c>
      <c r="O10" s="986">
        <f t="shared" si="6"/>
        <v>5668.3649961509682</v>
      </c>
      <c r="P10" s="986">
        <f t="shared" si="6"/>
        <v>230.20090418000004</v>
      </c>
      <c r="Q10" s="986">
        <f>Q11+Q12</f>
        <v>58542.564088040963</v>
      </c>
      <c r="R10" s="986"/>
      <c r="S10" s="986">
        <f>S11+S12</f>
        <v>54751.217192179742</v>
      </c>
      <c r="T10" s="534"/>
      <c r="U10" s="535"/>
      <c r="V10" s="534"/>
      <c r="W10" s="536"/>
      <c r="X10" s="529"/>
      <c r="Y10" s="529"/>
      <c r="Z10" s="529"/>
      <c r="AA10" s="529"/>
      <c r="AB10" s="529"/>
      <c r="AC10" s="529"/>
      <c r="AD10" s="529"/>
      <c r="AE10" s="529"/>
    </row>
    <row r="11" spans="2:31" ht="15" customHeight="1">
      <c r="C11" s="930" t="str">
        <f>IF(Indice_index!$Z$1=1,"Impostos diretos","Direct taxes")</f>
        <v>Impostos diretos</v>
      </c>
      <c r="D11" s="674"/>
      <c r="E11" s="986">
        <v>23916.184590335437</v>
      </c>
      <c r="F11" s="246"/>
      <c r="G11" s="986">
        <v>19956.94299525</v>
      </c>
      <c r="H11" s="986">
        <v>1.5595100000000001E-3</v>
      </c>
      <c r="I11" s="986">
        <v>3962.1663806184733</v>
      </c>
      <c r="J11" s="986">
        <v>0</v>
      </c>
      <c r="K11" s="986">
        <v>23919.110935378474</v>
      </c>
      <c r="L11" s="986"/>
      <c r="M11" s="986">
        <v>23377.274777119997</v>
      </c>
      <c r="N11" s="986">
        <v>0</v>
      </c>
      <c r="O11" s="986">
        <v>4497.8360430761586</v>
      </c>
      <c r="P11" s="986">
        <v>0</v>
      </c>
      <c r="Q11" s="986">
        <v>27875.110820196154</v>
      </c>
      <c r="R11" s="246"/>
      <c r="S11" s="986">
        <v>25045.517224378542</v>
      </c>
      <c r="T11" s="534"/>
      <c r="U11" s="535"/>
      <c r="V11" s="534"/>
      <c r="W11" s="536"/>
      <c r="X11" s="529"/>
      <c r="Y11" s="529"/>
      <c r="Z11" s="529"/>
      <c r="AA11" s="529"/>
      <c r="AB11" s="529"/>
      <c r="AC11" s="529"/>
      <c r="AD11" s="529"/>
      <c r="AE11" s="529"/>
    </row>
    <row r="12" spans="2:31" ht="15" customHeight="1">
      <c r="C12" s="930" t="str">
        <f>IF(Indice_index!$Z$1=1,"Impostos indiretos","Indirect taxes")</f>
        <v>Impostos indiretos</v>
      </c>
      <c r="D12" s="674"/>
      <c r="E12" s="986">
        <v>27515.988887740394</v>
      </c>
      <c r="F12" s="246"/>
      <c r="G12" s="986">
        <v>25634.280838840004</v>
      </c>
      <c r="H12" s="986">
        <v>567.69943990000002</v>
      </c>
      <c r="I12" s="986">
        <v>1101.5457017378126</v>
      </c>
      <c r="J12" s="986">
        <v>212.25092951000002</v>
      </c>
      <c r="K12" s="986">
        <v>27515.776909987817</v>
      </c>
      <c r="L12" s="986"/>
      <c r="M12" s="986">
        <v>28647.416410559999</v>
      </c>
      <c r="N12" s="986">
        <v>619.30700002999993</v>
      </c>
      <c r="O12" s="986">
        <v>1170.5289530748096</v>
      </c>
      <c r="P12" s="986">
        <v>230.20090418000004</v>
      </c>
      <c r="Q12" s="986">
        <v>30667.453267844809</v>
      </c>
      <c r="R12" s="246"/>
      <c r="S12" s="986">
        <v>29705.699967801203</v>
      </c>
      <c r="T12" s="534"/>
      <c r="U12" s="535"/>
      <c r="V12" s="534"/>
      <c r="W12" s="536"/>
      <c r="X12" s="529"/>
      <c r="Y12" s="529"/>
      <c r="Z12" s="529"/>
      <c r="AA12" s="529"/>
      <c r="AB12" s="529"/>
      <c r="AC12" s="529"/>
      <c r="AD12" s="529"/>
      <c r="AE12" s="529"/>
    </row>
    <row r="13" spans="2:31" ht="15" customHeight="1">
      <c r="C13" s="771" t="str">
        <f>IF(Indice_index!$Z$1=1,"Contribuições de Segurança Social","Social security contributions")</f>
        <v>Contribuições de Segurança Social</v>
      </c>
      <c r="D13" s="674"/>
      <c r="E13" s="986">
        <v>24205.521009030002</v>
      </c>
      <c r="F13" s="246"/>
      <c r="G13" s="986">
        <v>66.57852659000001</v>
      </c>
      <c r="H13" s="986">
        <v>4185.2423433499998</v>
      </c>
      <c r="I13" s="986">
        <v>0</v>
      </c>
      <c r="J13" s="986">
        <v>19953.70013909</v>
      </c>
      <c r="K13" s="986">
        <v>24205.521009030002</v>
      </c>
      <c r="L13" s="986"/>
      <c r="M13" s="986">
        <v>72.325494370000001</v>
      </c>
      <c r="N13" s="986">
        <v>4074.8176108399998</v>
      </c>
      <c r="O13" s="986">
        <v>0</v>
      </c>
      <c r="P13" s="986">
        <v>22310.620500899997</v>
      </c>
      <c r="Q13" s="986">
        <v>26457.763606109998</v>
      </c>
      <c r="R13" s="246"/>
      <c r="S13" s="986">
        <v>25361.125842000001</v>
      </c>
      <c r="T13" s="534"/>
      <c r="U13" s="535"/>
      <c r="V13" s="534"/>
      <c r="W13" s="536"/>
      <c r="X13" s="529"/>
      <c r="Y13" s="529"/>
      <c r="Z13" s="529"/>
      <c r="AA13" s="529"/>
      <c r="AB13" s="529"/>
      <c r="AC13" s="529"/>
      <c r="AD13" s="529"/>
      <c r="AE13" s="529"/>
    </row>
    <row r="14" spans="2:31" ht="15" customHeight="1">
      <c r="C14" s="771" t="str">
        <f>IF(Indice_index!$Z$1=1,"Transferências Correntes","Current transfers")</f>
        <v>Transferências Correntes</v>
      </c>
      <c r="D14" s="674"/>
      <c r="E14" s="986">
        <v>3017.7043054748233</v>
      </c>
      <c r="F14" s="246"/>
      <c r="G14" s="986">
        <v>1214.3733370099999</v>
      </c>
      <c r="H14" s="986">
        <v>22582.773708600016</v>
      </c>
      <c r="I14" s="986">
        <v>4451.1457073933543</v>
      </c>
      <c r="J14" s="986">
        <v>12301.049313009999</v>
      </c>
      <c r="K14" s="986">
        <v>3046.737254143351</v>
      </c>
      <c r="L14" s="986"/>
      <c r="M14" s="986">
        <v>979.48103571999991</v>
      </c>
      <c r="N14" s="986">
        <v>25691.837691969995</v>
      </c>
      <c r="O14" s="986">
        <v>4993.6208317361843</v>
      </c>
      <c r="P14" s="986">
        <v>11995.561174129998</v>
      </c>
      <c r="Q14" s="986">
        <v>2671.6038798062027</v>
      </c>
      <c r="R14" s="246"/>
      <c r="S14" s="986">
        <v>4960.3380585247996</v>
      </c>
      <c r="T14" s="534"/>
      <c r="U14" s="535"/>
      <c r="V14" s="534"/>
      <c r="W14" s="536"/>
      <c r="X14" s="529"/>
      <c r="Y14" s="529"/>
      <c r="Z14" s="529"/>
      <c r="AA14" s="529"/>
      <c r="AB14" s="529"/>
      <c r="AC14" s="529"/>
      <c r="AD14" s="529"/>
      <c r="AE14" s="529"/>
    </row>
    <row r="15" spans="2:31" ht="15" customHeight="1">
      <c r="C15" s="1504" t="str">
        <f>IF(Indice_index!$Z$1=1,"Administrações Públicas","General Government subsectors")</f>
        <v>Administrações Públicas</v>
      </c>
      <c r="D15" s="674"/>
      <c r="E15" s="1505">
        <v>0</v>
      </c>
      <c r="F15" s="1506"/>
      <c r="G15" s="1505">
        <v>744.20083166000006</v>
      </c>
      <c r="H15" s="1505">
        <v>21641.846082030013</v>
      </c>
      <c r="I15" s="1505">
        <v>4245.1380970100045</v>
      </c>
      <c r="J15" s="1505">
        <v>10871.419801169999</v>
      </c>
      <c r="K15" s="1505">
        <v>0</v>
      </c>
      <c r="L15" s="1505"/>
      <c r="M15" s="1505">
        <v>751.44975122999995</v>
      </c>
      <c r="N15" s="1505">
        <v>24611.165110069996</v>
      </c>
      <c r="O15" s="1505">
        <v>4725.807854119982</v>
      </c>
      <c r="P15" s="1505">
        <v>10900.474138329999</v>
      </c>
      <c r="Q15" s="1505">
        <v>0</v>
      </c>
      <c r="R15" s="1506"/>
      <c r="S15" s="1505">
        <v>0</v>
      </c>
      <c r="T15" s="534"/>
      <c r="U15" s="535"/>
      <c r="V15" s="534"/>
      <c r="W15" s="536"/>
      <c r="X15" s="529"/>
      <c r="Y15" s="529"/>
      <c r="Z15" s="529"/>
      <c r="AA15" s="529"/>
      <c r="AB15" s="529"/>
      <c r="AC15" s="529"/>
      <c r="AD15" s="529"/>
      <c r="AE15" s="529"/>
    </row>
    <row r="16" spans="2:31" ht="15" customHeight="1">
      <c r="C16" s="1504" t="str">
        <f>IF(Indice_index!$Z$1=1,"Outras","Others")</f>
        <v>Outras</v>
      </c>
      <c r="D16" s="674"/>
      <c r="E16" s="1505">
        <v>3017.7043054748233</v>
      </c>
      <c r="F16" s="1506"/>
      <c r="G16" s="1505">
        <v>470.17250534999982</v>
      </c>
      <c r="H16" s="1505">
        <v>940.92762657000128</v>
      </c>
      <c r="I16" s="1505">
        <v>206.00761038335017</v>
      </c>
      <c r="J16" s="1505">
        <v>1429.6295118399999</v>
      </c>
      <c r="K16" s="1505">
        <v>3046.737254143351</v>
      </c>
      <c r="L16" s="1505"/>
      <c r="M16" s="1505">
        <v>228.03128448999999</v>
      </c>
      <c r="N16" s="1505">
        <v>1080.6725818999998</v>
      </c>
      <c r="O16" s="1505">
        <v>267.81297761620237</v>
      </c>
      <c r="P16" s="1505">
        <v>1095.0870358000002</v>
      </c>
      <c r="Q16" s="1505">
        <v>2671.6038798062027</v>
      </c>
      <c r="R16" s="1506"/>
      <c r="S16" s="1505">
        <v>4960.3380585247996</v>
      </c>
      <c r="T16" s="534"/>
      <c r="U16" s="535"/>
      <c r="V16" s="534"/>
      <c r="W16" s="536"/>
      <c r="X16" s="529"/>
      <c r="Y16" s="529"/>
      <c r="Z16" s="529"/>
      <c r="AA16" s="529"/>
      <c r="AB16" s="529"/>
      <c r="AC16" s="529"/>
      <c r="AD16" s="529"/>
      <c r="AE16" s="529"/>
    </row>
    <row r="17" spans="3:31" ht="15" customHeight="1">
      <c r="C17" s="771" t="str">
        <f>IF(Indice_index!$Z$1=1,"Outras receitas correntes","Other current revenue")</f>
        <v>Outras receitas correntes</v>
      </c>
      <c r="D17" s="674"/>
      <c r="E17" s="986">
        <v>11070.632556263767</v>
      </c>
      <c r="F17" s="246"/>
      <c r="G17" s="986">
        <v>3117.1835727000007</v>
      </c>
      <c r="H17" s="986">
        <v>5627.2402774100137</v>
      </c>
      <c r="I17" s="986">
        <v>1860.1672532875459</v>
      </c>
      <c r="J17" s="986">
        <v>1098.626045</v>
      </c>
      <c r="K17" s="986">
        <v>11082.828300947562</v>
      </c>
      <c r="L17" s="986"/>
      <c r="M17" s="986">
        <v>3433.9087583</v>
      </c>
      <c r="N17" s="986">
        <v>6176.7715161899823</v>
      </c>
      <c r="O17" s="986">
        <v>2043.7998728606378</v>
      </c>
      <c r="P17" s="986">
        <v>985.22181129000001</v>
      </c>
      <c r="Q17" s="986">
        <v>11866.186894420618</v>
      </c>
      <c r="R17" s="246"/>
      <c r="S17" s="986">
        <v>11695.092231674706</v>
      </c>
      <c r="T17" s="534"/>
      <c r="U17" s="535"/>
      <c r="V17" s="534"/>
      <c r="W17" s="536"/>
      <c r="X17" s="529"/>
      <c r="Y17" s="529"/>
      <c r="Z17" s="529"/>
      <c r="AA17" s="529"/>
      <c r="AB17" s="529"/>
      <c r="AC17" s="529"/>
      <c r="AD17" s="529"/>
      <c r="AE17" s="529"/>
    </row>
    <row r="18" spans="3:31" ht="15" customHeight="1">
      <c r="C18" s="819" t="str">
        <f>IF(Indice_index!$Z$1=1,"Diferenças de consolidação","Consolidation differences")</f>
        <v>Diferenças de consolidação</v>
      </c>
      <c r="D18" s="674"/>
      <c r="E18" s="986">
        <v>39.963791380003521</v>
      </c>
      <c r="F18" s="246"/>
      <c r="G18" s="986">
        <v>4.4417399999999996E-3</v>
      </c>
      <c r="H18" s="986">
        <v>39.959349640003524</v>
      </c>
      <c r="I18" s="986">
        <v>0</v>
      </c>
      <c r="J18" s="986">
        <v>0</v>
      </c>
      <c r="K18" s="986">
        <v>39.963791380003521</v>
      </c>
      <c r="L18" s="986"/>
      <c r="M18" s="986">
        <v>4.7603700000000007E-3</v>
      </c>
      <c r="N18" s="986">
        <v>2.9285569999999997E-2</v>
      </c>
      <c r="O18" s="986">
        <v>0</v>
      </c>
      <c r="P18" s="986">
        <v>0</v>
      </c>
      <c r="Q18" s="986">
        <v>243.09083196997068</v>
      </c>
      <c r="R18" s="246"/>
      <c r="S18" s="986">
        <v>9.3252379999995192</v>
      </c>
      <c r="T18" s="534"/>
      <c r="U18" s="535"/>
      <c r="V18" s="534"/>
      <c r="W18" s="536"/>
      <c r="X18" s="529"/>
      <c r="Y18" s="529"/>
      <c r="Z18" s="529"/>
      <c r="AA18" s="529"/>
      <c r="AB18" s="529"/>
      <c r="AC18" s="529"/>
      <c r="AD18" s="529"/>
      <c r="AE18" s="529"/>
    </row>
    <row r="19" spans="3:31" s="526" customFormat="1" ht="15" customHeight="1">
      <c r="C19" s="318" t="str">
        <f>IF(Indice_index!$Z$1=1,"Receita de capital","Capital revenue")</f>
        <v>Receita de capital</v>
      </c>
      <c r="D19" s="1507"/>
      <c r="E19" s="1503">
        <f>E20+E21+E24+E25</f>
        <v>2152.4292713541913</v>
      </c>
      <c r="F19" s="246"/>
      <c r="G19" s="1503">
        <f>G20+G21+G24+G25</f>
        <v>84.767693960000003</v>
      </c>
      <c r="H19" s="1503">
        <f t="shared" ref="H19:M19" si="7">H20+H21+H24+H25</f>
        <v>3034.4154667400003</v>
      </c>
      <c r="I19" s="1503">
        <f t="shared" si="7"/>
        <v>1580.041597623738</v>
      </c>
      <c r="J19" s="1503">
        <f t="shared" si="7"/>
        <v>0.91545309000000008</v>
      </c>
      <c r="K19" s="1503">
        <f t="shared" si="7"/>
        <v>2173.1665097237378</v>
      </c>
      <c r="L19" s="1503"/>
      <c r="M19" s="1503">
        <f t="shared" si="7"/>
        <v>368.87706186000003</v>
      </c>
      <c r="N19" s="1503">
        <f t="shared" ref="N19" si="8">N20+N21+N24+N25</f>
        <v>2814.5302978099994</v>
      </c>
      <c r="O19" s="1503">
        <f t="shared" ref="O19" si="9">O20+O21+O24+O25</f>
        <v>1295.6897738654211</v>
      </c>
      <c r="P19" s="1503">
        <f t="shared" ref="P19" si="10">P20+P21+P24+P25</f>
        <v>1.1830310500000001</v>
      </c>
      <c r="Q19" s="1503">
        <f t="shared" ref="Q19" si="11">Q20+Q21+Q24+Q25</f>
        <v>2333.7534216454214</v>
      </c>
      <c r="R19" s="246"/>
      <c r="S19" s="1503">
        <f>S20+S21+S24+S25</f>
        <v>4617.421407629301</v>
      </c>
      <c r="T19" s="531"/>
      <c r="U19" s="530"/>
      <c r="V19" s="531"/>
      <c r="W19" s="532"/>
      <c r="X19" s="533"/>
      <c r="Y19" s="533"/>
      <c r="Z19" s="533"/>
      <c r="AA19" s="533"/>
      <c r="AB19" s="533"/>
      <c r="AC19" s="533"/>
      <c r="AD19" s="533"/>
      <c r="AE19" s="533"/>
    </row>
    <row r="20" spans="3:31" s="526" customFormat="1" ht="15" customHeight="1">
      <c r="C20" s="771" t="str">
        <f>IF(Indice_index!$Z$1=1,"Venda de bens de investimento","Sale of investment goods")</f>
        <v>Venda de bens de investimento</v>
      </c>
      <c r="D20" s="1507"/>
      <c r="E20" s="986">
        <v>234.08499364003021</v>
      </c>
      <c r="F20" s="246"/>
      <c r="G20" s="986">
        <v>36.898817499999993</v>
      </c>
      <c r="H20" s="986">
        <v>117.54567846999998</v>
      </c>
      <c r="I20" s="986">
        <v>76.31699388518372</v>
      </c>
      <c r="J20" s="986">
        <v>0.61795309000000009</v>
      </c>
      <c r="K20" s="986">
        <v>231.37944294518371</v>
      </c>
      <c r="L20" s="986"/>
      <c r="M20" s="986">
        <v>35.344150110000001</v>
      </c>
      <c r="N20" s="986">
        <v>105.1883282</v>
      </c>
      <c r="O20" s="986">
        <v>50.548658416286429</v>
      </c>
      <c r="P20" s="986">
        <v>0.82603287000000003</v>
      </c>
      <c r="Q20" s="986">
        <v>191.90716959628642</v>
      </c>
      <c r="R20" s="246"/>
      <c r="S20" s="986">
        <v>260.02846068002685</v>
      </c>
      <c r="T20" s="531"/>
      <c r="U20" s="530"/>
      <c r="V20" s="531"/>
      <c r="W20" s="532"/>
      <c r="X20" s="533"/>
      <c r="Y20" s="533"/>
      <c r="Z20" s="533"/>
      <c r="AA20" s="533"/>
      <c r="AB20" s="533"/>
      <c r="AC20" s="533"/>
      <c r="AD20" s="533"/>
      <c r="AE20" s="533"/>
    </row>
    <row r="21" spans="3:31" s="526" customFormat="1" ht="15" customHeight="1">
      <c r="C21" s="771" t="str">
        <f>IF(Indice_index!$Z$1=1,"Transferências de Capital","Capital transfers")</f>
        <v>Transferências de Capital</v>
      </c>
      <c r="D21" s="1507"/>
      <c r="E21" s="986">
        <v>1867.3452393440825</v>
      </c>
      <c r="F21" s="246"/>
      <c r="G21" s="986">
        <v>45.685864640000005</v>
      </c>
      <c r="H21" s="986">
        <v>2891.6004543500003</v>
      </c>
      <c r="I21" s="986">
        <v>1484.4420832205024</v>
      </c>
      <c r="J21" s="986">
        <v>0.29749999999999999</v>
      </c>
      <c r="K21" s="986">
        <v>1887.5312482105023</v>
      </c>
      <c r="L21" s="986"/>
      <c r="M21" s="986">
        <v>264.19064558000002</v>
      </c>
      <c r="N21" s="986">
        <v>2681.2494635599996</v>
      </c>
      <c r="O21" s="986">
        <v>1228.16177026327</v>
      </c>
      <c r="P21" s="986">
        <v>0.35</v>
      </c>
      <c r="Q21" s="986">
        <v>2027.4251364632701</v>
      </c>
      <c r="R21" s="246"/>
      <c r="S21" s="986">
        <v>4283.4085149757511</v>
      </c>
      <c r="T21" s="531"/>
      <c r="U21" s="530"/>
      <c r="V21" s="531"/>
      <c r="W21" s="532"/>
      <c r="X21" s="533"/>
      <c r="Y21" s="533"/>
      <c r="Z21" s="533"/>
      <c r="AA21" s="533"/>
      <c r="AB21" s="533"/>
      <c r="AC21" s="533"/>
      <c r="AD21" s="533"/>
      <c r="AE21" s="533"/>
    </row>
    <row r="22" spans="3:31" s="526" customFormat="1" ht="15" customHeight="1">
      <c r="C22" s="1504" t="str">
        <f>IF(Indice_index!$Z$1=1,"Administrações Públicas","General Government subsectors")</f>
        <v>Administrações Públicas</v>
      </c>
      <c r="D22" s="1507"/>
      <c r="E22" s="986">
        <v>0</v>
      </c>
      <c r="F22" s="246"/>
      <c r="G22" s="986">
        <v>17.437910760000001</v>
      </c>
      <c r="H22" s="986">
        <v>1909.3898297000003</v>
      </c>
      <c r="I22" s="986">
        <v>607.36941353999998</v>
      </c>
      <c r="J22" s="986">
        <v>0.29749999999999999</v>
      </c>
      <c r="K22" s="986">
        <v>0</v>
      </c>
      <c r="L22" s="986"/>
      <c r="M22" s="986">
        <v>14.328890019999999</v>
      </c>
      <c r="N22" s="986">
        <v>1614.05250615</v>
      </c>
      <c r="O22" s="986">
        <v>517.79534676999992</v>
      </c>
      <c r="P22" s="986">
        <v>0.35</v>
      </c>
      <c r="Q22" s="986">
        <v>0</v>
      </c>
      <c r="R22" s="246"/>
      <c r="S22" s="986">
        <v>0</v>
      </c>
      <c r="T22" s="531"/>
      <c r="U22" s="530"/>
      <c r="V22" s="531"/>
      <c r="W22" s="532"/>
      <c r="X22" s="533"/>
      <c r="Y22" s="533"/>
      <c r="Z22" s="533"/>
      <c r="AA22" s="533"/>
      <c r="AB22" s="533"/>
      <c r="AC22" s="533"/>
      <c r="AD22" s="533"/>
      <c r="AE22" s="533"/>
    </row>
    <row r="23" spans="3:31" s="526" customFormat="1" ht="15" customHeight="1">
      <c r="C23" s="1504" t="str">
        <f>IF(Indice_index!$Z$1=1,"Outras","Others")</f>
        <v>Outras</v>
      </c>
      <c r="D23" s="1507"/>
      <c r="E23" s="1505">
        <v>1867.3452393440825</v>
      </c>
      <c r="F23" s="1506"/>
      <c r="G23" s="1505">
        <v>28.247953880000004</v>
      </c>
      <c r="H23" s="1505">
        <v>982.21062464999989</v>
      </c>
      <c r="I23" s="1505">
        <v>877.07266968050249</v>
      </c>
      <c r="J23" s="1505">
        <v>0</v>
      </c>
      <c r="K23" s="1505">
        <v>1887.5312482105023</v>
      </c>
      <c r="L23" s="1505"/>
      <c r="M23" s="1505">
        <v>249.86175556000003</v>
      </c>
      <c r="N23" s="1505">
        <v>1067.1969574099999</v>
      </c>
      <c r="O23" s="1505">
        <v>710.36642349327008</v>
      </c>
      <c r="P23" s="1505">
        <v>0</v>
      </c>
      <c r="Q23" s="1505">
        <v>2027.4251364632701</v>
      </c>
      <c r="R23" s="1506"/>
      <c r="S23" s="1505">
        <v>4283.4085149757511</v>
      </c>
      <c r="T23" s="531"/>
      <c r="U23" s="530"/>
      <c r="V23" s="531"/>
      <c r="W23" s="532"/>
      <c r="X23" s="533"/>
      <c r="Y23" s="533"/>
      <c r="Z23" s="533"/>
      <c r="AA23" s="533"/>
      <c r="AB23" s="533"/>
      <c r="AC23" s="533"/>
      <c r="AD23" s="533"/>
      <c r="AE23" s="533"/>
    </row>
    <row r="24" spans="3:31" s="526" customFormat="1" ht="15" customHeight="1">
      <c r="C24" s="771" t="str">
        <f>IF(Indice_index!$Z$1=1,"Outras receitas de capital","Other capital revenue")</f>
        <v>Outras receitas de capital</v>
      </c>
      <c r="D24" s="1507"/>
      <c r="E24" s="1505">
        <v>42.809041090078466</v>
      </c>
      <c r="F24" s="1506"/>
      <c r="G24" s="1505">
        <v>1.5029668500000015</v>
      </c>
      <c r="H24" s="1505">
        <v>25.269333919999998</v>
      </c>
      <c r="I24" s="1505">
        <v>19.282520518051907</v>
      </c>
      <c r="J24" s="1505">
        <v>0</v>
      </c>
      <c r="K24" s="1505">
        <v>46.054821288051905</v>
      </c>
      <c r="L24" s="1505"/>
      <c r="M24" s="1505">
        <v>69.342266169999988</v>
      </c>
      <c r="N24" s="1505">
        <v>28.092506050000004</v>
      </c>
      <c r="O24" s="1505">
        <v>16.963041975864918</v>
      </c>
      <c r="P24" s="1505">
        <v>6.9981800000000005E-3</v>
      </c>
      <c r="Q24" s="1505">
        <v>114.40481237586489</v>
      </c>
      <c r="R24" s="1506"/>
      <c r="S24" s="1505">
        <v>64.622553296611642</v>
      </c>
      <c r="T24" s="531"/>
      <c r="U24" s="530"/>
      <c r="V24" s="531"/>
      <c r="W24" s="532"/>
      <c r="X24" s="533"/>
      <c r="Y24" s="533"/>
      <c r="Z24" s="533"/>
      <c r="AA24" s="533"/>
      <c r="AB24" s="533"/>
      <c r="AC24" s="533"/>
      <c r="AD24" s="533"/>
      <c r="AE24" s="533"/>
    </row>
    <row r="25" spans="3:31" ht="15" customHeight="1">
      <c r="C25" s="819" t="str">
        <f>IF(Indice_index!$Z$1=1,"Diferenças de consolidação","Consolidation differences")</f>
        <v>Diferenças de consolidação</v>
      </c>
      <c r="D25" s="674"/>
      <c r="E25" s="986">
        <v>8.1899972800002416</v>
      </c>
      <c r="F25" s="246"/>
      <c r="G25" s="986">
        <v>0.68004496999999731</v>
      </c>
      <c r="H25" s="986">
        <v>0</v>
      </c>
      <c r="I25" s="986">
        <v>0</v>
      </c>
      <c r="J25" s="986">
        <v>0</v>
      </c>
      <c r="K25" s="986">
        <v>8.2009972800002089</v>
      </c>
      <c r="L25" s="986"/>
      <c r="M25" s="986">
        <v>0</v>
      </c>
      <c r="N25" s="986">
        <v>0</v>
      </c>
      <c r="O25" s="986">
        <v>1.6303209999989576E-2</v>
      </c>
      <c r="P25" s="986">
        <v>0</v>
      </c>
      <c r="Q25" s="986">
        <v>1.6303209999989576E-2</v>
      </c>
      <c r="R25" s="246"/>
      <c r="S25" s="986">
        <v>9.3618786769106919</v>
      </c>
      <c r="T25" s="534"/>
      <c r="U25" s="535"/>
      <c r="V25" s="534"/>
      <c r="W25" s="536"/>
      <c r="X25" s="529"/>
      <c r="Y25" s="529"/>
      <c r="Z25" s="529"/>
      <c r="AA25" s="529"/>
      <c r="AB25" s="529"/>
      <c r="AC25" s="529"/>
      <c r="AD25" s="529"/>
      <c r="AE25" s="529"/>
    </row>
    <row r="26" spans="3:31" s="537" customFormat="1" ht="4.5" customHeight="1">
      <c r="C26" s="666"/>
      <c r="D26" s="800"/>
      <c r="E26" s="1508"/>
      <c r="F26" s="800"/>
      <c r="G26" s="1508"/>
      <c r="H26" s="1508"/>
      <c r="I26" s="1508"/>
      <c r="J26" s="1508"/>
      <c r="K26" s="1508"/>
      <c r="L26" s="1508"/>
      <c r="M26" s="1508"/>
      <c r="N26" s="1508"/>
      <c r="O26" s="1508"/>
      <c r="P26" s="1508"/>
      <c r="Q26" s="1508"/>
      <c r="R26" s="800"/>
      <c r="S26" s="1508"/>
      <c r="T26" s="534"/>
      <c r="U26" s="538"/>
      <c r="V26" s="534"/>
      <c r="W26" s="536"/>
      <c r="X26" s="529"/>
      <c r="Y26" s="529"/>
      <c r="Z26" s="539"/>
      <c r="AA26" s="539"/>
      <c r="AB26" s="539"/>
      <c r="AC26" s="539"/>
      <c r="AD26" s="529"/>
      <c r="AE26" s="529"/>
    </row>
    <row r="27" spans="3:31" s="526" customFormat="1" ht="13.5" customHeight="1">
      <c r="C27" s="1509" t="str">
        <f>IF(Indice_index!$Z$1=1,"Receita efetiva","Effective revenue")</f>
        <v>Receita efetiva</v>
      </c>
      <c r="D27" s="318"/>
      <c r="E27" s="1510">
        <f>E9+E19</f>
        <v>91918.424411578613</v>
      </c>
      <c r="F27" s="1503"/>
      <c r="G27" s="1510">
        <f t="shared" ref="G27:J27" si="12">G9+G19</f>
        <v>50074.131406090004</v>
      </c>
      <c r="H27" s="1510">
        <f t="shared" si="12"/>
        <v>36037.332145150031</v>
      </c>
      <c r="I27" s="1510">
        <f t="shared" si="12"/>
        <v>12955.066640660923</v>
      </c>
      <c r="J27" s="1510">
        <f t="shared" si="12"/>
        <v>33566.541879699995</v>
      </c>
      <c r="K27" s="1510">
        <f>K9+K19</f>
        <v>91983.104710590953</v>
      </c>
      <c r="L27" s="1503"/>
      <c r="M27" s="1510">
        <f t="shared" ref="M27:P27" si="13">M9+M19</f>
        <v>56879.288298300002</v>
      </c>
      <c r="N27" s="1510">
        <f t="shared" si="13"/>
        <v>39377.293402409981</v>
      </c>
      <c r="O27" s="1510">
        <f t="shared" si="13"/>
        <v>14001.475474613211</v>
      </c>
      <c r="P27" s="1510">
        <f t="shared" si="13"/>
        <v>35522.787421549998</v>
      </c>
      <c r="Q27" s="1510">
        <f>Q9+Q19</f>
        <v>102114.96272199319</v>
      </c>
      <c r="R27" s="1503"/>
      <c r="S27" s="1510">
        <f>S9+S19</f>
        <v>101394.51997000854</v>
      </c>
      <c r="T27" s="531"/>
      <c r="U27" s="530"/>
      <c r="V27" s="531"/>
      <c r="W27" s="532"/>
      <c r="X27" s="533"/>
      <c r="Y27" s="533"/>
      <c r="Z27" s="533"/>
      <c r="AA27" s="533"/>
      <c r="AB27" s="533"/>
      <c r="AC27" s="533"/>
      <c r="AD27" s="533"/>
      <c r="AE27" s="533"/>
    </row>
    <row r="28" spans="3:31" s="537" customFormat="1" ht="4.5" customHeight="1">
      <c r="C28" s="666"/>
      <c r="D28" s="800"/>
      <c r="E28" s="1508"/>
      <c r="F28" s="800"/>
      <c r="G28" s="1508"/>
      <c r="H28" s="1508"/>
      <c r="I28" s="1508"/>
      <c r="J28" s="1508"/>
      <c r="K28" s="1508"/>
      <c r="L28" s="1508"/>
      <c r="M28" s="1508"/>
      <c r="N28" s="1508"/>
      <c r="O28" s="1508"/>
      <c r="P28" s="1508"/>
      <c r="Q28" s="1508"/>
      <c r="R28" s="800"/>
      <c r="S28" s="1508"/>
      <c r="T28" s="534"/>
      <c r="U28" s="538"/>
      <c r="V28" s="534"/>
      <c r="W28" s="536"/>
      <c r="X28" s="529"/>
      <c r="Y28" s="529"/>
      <c r="Z28" s="539"/>
      <c r="AA28" s="539"/>
      <c r="AB28" s="539"/>
      <c r="AC28" s="539"/>
      <c r="AD28" s="529"/>
      <c r="AE28" s="529"/>
    </row>
    <row r="29" spans="3:31" s="526" customFormat="1" ht="15" customHeight="1">
      <c r="C29" s="318" t="str">
        <f>IF(Indice_index!$Z$1=1,"Despesa corrente","Current expenditure")</f>
        <v>Despesa corrente</v>
      </c>
      <c r="D29" s="1507"/>
      <c r="E29" s="1503">
        <f>E30+E34+E35+E36+E39+E40+E41</f>
        <v>92213.860103929823</v>
      </c>
      <c r="F29" s="246"/>
      <c r="G29" s="1503">
        <f>G30+G34+G35+G36+G39+G40+G41</f>
        <v>56311.346025609986</v>
      </c>
      <c r="H29" s="1503">
        <f t="shared" ref="H29:K29" si="14">H30+H34+H35+H36+H39+H40+H41</f>
        <v>32992.40213368008</v>
      </c>
      <c r="I29" s="1503">
        <f t="shared" si="14"/>
        <v>9930.9468640529485</v>
      </c>
      <c r="J29" s="1503">
        <f t="shared" si="14"/>
        <v>31195.450149439996</v>
      </c>
      <c r="K29" s="1503">
        <f t="shared" si="14"/>
        <v>92307.151513462988</v>
      </c>
      <c r="L29" s="1503"/>
      <c r="M29" s="1503">
        <f>M30+M34+M35+M36+M39+M40+M41</f>
        <v>59915.887196729978</v>
      </c>
      <c r="N29" s="1503">
        <f t="shared" ref="N29" si="15">N30+N34+N35+N36+N39+N40+N41</f>
        <v>36620.732076060012</v>
      </c>
      <c r="O29" s="1503">
        <f t="shared" ref="O29" si="16">O30+O34+O35+O36+O39+O40+O41</f>
        <v>10639.581993822798</v>
      </c>
      <c r="P29" s="1503">
        <f t="shared" ref="P29" si="17">P30+P34+P35+P36+P39+P40+P41</f>
        <v>31405.065438770005</v>
      </c>
      <c r="Q29" s="1503">
        <f t="shared" ref="Q29" si="18">Q30+Q34+Q35+Q36+Q39+Q40+Q41</f>
        <v>97061.91157344282</v>
      </c>
      <c r="R29" s="246"/>
      <c r="S29" s="1503">
        <f>S30+S34+S35+S36+S39+S40+S41</f>
        <v>95189.59823413963</v>
      </c>
      <c r="T29" s="531"/>
      <c r="U29" s="530"/>
      <c r="V29" s="531"/>
      <c r="W29" s="532"/>
      <c r="X29" s="533"/>
      <c r="Y29" s="533"/>
      <c r="Z29" s="533"/>
      <c r="AA29" s="533"/>
      <c r="AB29" s="533"/>
      <c r="AC29" s="533"/>
      <c r="AD29" s="533"/>
      <c r="AE29" s="533"/>
    </row>
    <row r="30" spans="3:31" ht="15" customHeight="1">
      <c r="C30" s="819" t="str">
        <f>IF(Indice_index!$Z$1=1,"Despesas com o pessoal","Compensation of employees")</f>
        <v>Despesas com o pessoal</v>
      </c>
      <c r="D30" s="674"/>
      <c r="E30" s="986">
        <f>E31+E32+E33</f>
        <v>23503.247919816382</v>
      </c>
      <c r="F30" s="246"/>
      <c r="G30" s="986">
        <f>G31+G32+G33</f>
        <v>10187.270213329981</v>
      </c>
      <c r="H30" s="986">
        <f t="shared" ref="H30:M30" si="19">H31+H32+H33</f>
        <v>8526.7632711000151</v>
      </c>
      <c r="I30" s="986">
        <f t="shared" si="19"/>
        <v>4554.0632220116368</v>
      </c>
      <c r="J30" s="986">
        <f t="shared" si="19"/>
        <v>292.95986727999991</v>
      </c>
      <c r="K30" s="986">
        <f t="shared" si="19"/>
        <v>23561.056573721631</v>
      </c>
      <c r="L30" s="986"/>
      <c r="M30" s="986">
        <f t="shared" si="19"/>
        <v>10194.808656429992</v>
      </c>
      <c r="N30" s="986">
        <f t="shared" ref="N30" si="20">N31+N32+N33</f>
        <v>8809.8256775699938</v>
      </c>
      <c r="O30" s="986">
        <f t="shared" ref="O30" si="21">O31+O32+O33</f>
        <v>4966.7315867842735</v>
      </c>
      <c r="P30" s="986">
        <f t="shared" ref="P30" si="22">P31+P32+P33</f>
        <v>302.81280670999996</v>
      </c>
      <c r="Q30" s="986">
        <f t="shared" ref="Q30" si="23">Q31+Q32+Q33</f>
        <v>24274.178727494258</v>
      </c>
      <c r="R30" s="246"/>
      <c r="S30" s="986">
        <f>S31+S32+S33</f>
        <v>24073.728630554066</v>
      </c>
      <c r="T30" s="534"/>
      <c r="U30" s="535"/>
      <c r="V30" s="534"/>
      <c r="W30" s="536"/>
      <c r="X30" s="529"/>
      <c r="Y30" s="529"/>
      <c r="Z30" s="529"/>
      <c r="AA30" s="529"/>
      <c r="AB30" s="529"/>
      <c r="AC30" s="529"/>
      <c r="AD30" s="529"/>
      <c r="AE30" s="529"/>
    </row>
    <row r="31" spans="3:31" ht="15" customHeight="1">
      <c r="C31" s="1504" t="str">
        <f>IF(Indice_index!$Z$1=1,"Remunerações Certas e Permanentes","Certain and permanent wages")</f>
        <v>Remunerações Certas e Permanentes</v>
      </c>
      <c r="D31" s="674"/>
      <c r="E31" s="986">
        <v>16863.182267150922</v>
      </c>
      <c r="F31" s="246"/>
      <c r="G31" s="986">
        <v>7352.8066867299849</v>
      </c>
      <c r="H31" s="986">
        <v>5947.1170754600134</v>
      </c>
      <c r="I31" s="986">
        <v>3377.3245230599932</v>
      </c>
      <c r="J31" s="986">
        <v>233.69650922999992</v>
      </c>
      <c r="K31" s="986">
        <v>16910.94479447999</v>
      </c>
      <c r="L31" s="986"/>
      <c r="M31" s="986">
        <v>7354.9930286999979</v>
      </c>
      <c r="N31" s="986">
        <v>6155.3689434699927</v>
      </c>
      <c r="O31" s="986">
        <v>3704.5653621720562</v>
      </c>
      <c r="P31" s="986">
        <v>242.35116174999996</v>
      </c>
      <c r="Q31" s="986">
        <v>17457.278496092047</v>
      </c>
      <c r="R31" s="246"/>
      <c r="S31" s="986">
        <v>17750.481857474613</v>
      </c>
      <c r="T31" s="534"/>
      <c r="U31" s="535"/>
      <c r="V31" s="534"/>
      <c r="W31" s="536"/>
      <c r="X31" s="529"/>
      <c r="Y31" s="529"/>
      <c r="Z31" s="529"/>
      <c r="AA31" s="529"/>
      <c r="AB31" s="529"/>
      <c r="AC31" s="529"/>
      <c r="AD31" s="529"/>
      <c r="AE31" s="529"/>
    </row>
    <row r="32" spans="3:31" ht="15" customHeight="1">
      <c r="C32" s="1504" t="str">
        <f>IF(Indice_index!$Z$1=1,"Abonos Variáveis ou Eventuais","Variable or contingent bonuses")</f>
        <v>Abonos Variáveis ou Eventuais</v>
      </c>
      <c r="D32" s="674"/>
      <c r="E32" s="986">
        <v>1572.0595564559444</v>
      </c>
      <c r="F32" s="246"/>
      <c r="G32" s="986">
        <v>386.88280049999992</v>
      </c>
      <c r="H32" s="986">
        <v>945.06633174000035</v>
      </c>
      <c r="I32" s="986">
        <v>238.93996082032041</v>
      </c>
      <c r="J32" s="986">
        <v>5.1169230200000007</v>
      </c>
      <c r="K32" s="986">
        <v>1576.0060160803209</v>
      </c>
      <c r="L32" s="986"/>
      <c r="M32" s="986">
        <v>404.99034523000057</v>
      </c>
      <c r="N32" s="986">
        <v>975.44949464000013</v>
      </c>
      <c r="O32" s="986">
        <v>256.89955132327003</v>
      </c>
      <c r="P32" s="986">
        <v>5.2494149799999992</v>
      </c>
      <c r="Q32" s="986">
        <v>1642.5888061732708</v>
      </c>
      <c r="R32" s="246"/>
      <c r="S32" s="986">
        <v>1512.1656374667184</v>
      </c>
      <c r="T32" s="534"/>
      <c r="U32" s="535"/>
      <c r="V32" s="534"/>
      <c r="W32" s="536"/>
      <c r="X32" s="529"/>
      <c r="Y32" s="529"/>
      <c r="Z32" s="529"/>
      <c r="AA32" s="529"/>
      <c r="AB32" s="529"/>
      <c r="AC32" s="529"/>
      <c r="AD32" s="529"/>
      <c r="AE32" s="529"/>
    </row>
    <row r="33" spans="3:31" ht="15" customHeight="1">
      <c r="C33" s="1504" t="str">
        <f>IF(Indice_index!$Z$1=1,"Segurança social","Social security")</f>
        <v>Segurança social</v>
      </c>
      <c r="D33" s="674"/>
      <c r="E33" s="986">
        <v>5068.0060962095167</v>
      </c>
      <c r="F33" s="246"/>
      <c r="G33" s="986">
        <v>2447.5807260999959</v>
      </c>
      <c r="H33" s="986">
        <v>1634.5798639000004</v>
      </c>
      <c r="I33" s="986">
        <v>937.79873813132303</v>
      </c>
      <c r="J33" s="986">
        <v>54.146435030000006</v>
      </c>
      <c r="K33" s="986">
        <v>5074.1057631613194</v>
      </c>
      <c r="L33" s="986"/>
      <c r="M33" s="986">
        <v>2434.8252824999931</v>
      </c>
      <c r="N33" s="986">
        <v>1679.0072394600008</v>
      </c>
      <c r="O33" s="986">
        <v>1005.2666732889478</v>
      </c>
      <c r="P33" s="986">
        <v>55.212229979999996</v>
      </c>
      <c r="Q33" s="986">
        <v>5174.3114252289415</v>
      </c>
      <c r="R33" s="246"/>
      <c r="S33" s="986">
        <v>4811.0811356127342</v>
      </c>
      <c r="T33" s="534"/>
      <c r="U33" s="535"/>
      <c r="V33" s="534"/>
      <c r="W33" s="536"/>
      <c r="X33" s="529"/>
      <c r="Y33" s="529"/>
      <c r="Z33" s="529"/>
      <c r="AA33" s="529"/>
      <c r="AB33" s="529"/>
      <c r="AC33" s="529"/>
      <c r="AD33" s="529"/>
      <c r="AE33" s="529"/>
    </row>
    <row r="34" spans="3:31" ht="15" customHeight="1">
      <c r="C34" s="819" t="str">
        <f>IF(Indice_index!$Z$1=1,"Aquisição de bens e serviços","Purchase of goods and services")</f>
        <v>Aquisição de bens e serviços</v>
      </c>
      <c r="D34" s="674"/>
      <c r="E34" s="986">
        <v>14824.748358832137</v>
      </c>
      <c r="F34" s="246"/>
      <c r="G34" s="986">
        <v>1801.2157903399943</v>
      </c>
      <c r="H34" s="986">
        <v>9578.1575329900625</v>
      </c>
      <c r="I34" s="986">
        <v>3367.6881025875109</v>
      </c>
      <c r="J34" s="986">
        <v>99.981533720000002</v>
      </c>
      <c r="K34" s="986">
        <v>14840.661404167568</v>
      </c>
      <c r="L34" s="986"/>
      <c r="M34" s="986">
        <v>1744.8396971299992</v>
      </c>
      <c r="N34" s="986">
        <v>10700.738962630017</v>
      </c>
      <c r="O34" s="986">
        <v>3637.0855025389815</v>
      </c>
      <c r="P34" s="986">
        <v>90.534915649999988</v>
      </c>
      <c r="Q34" s="986">
        <v>16167.573906148997</v>
      </c>
      <c r="R34" s="246"/>
      <c r="S34" s="986">
        <v>15878.382236609272</v>
      </c>
      <c r="T34" s="534"/>
      <c r="U34" s="535"/>
      <c r="V34" s="534"/>
      <c r="W34" s="536"/>
      <c r="X34" s="529"/>
      <c r="Y34" s="529"/>
      <c r="Z34" s="529"/>
      <c r="AA34" s="529"/>
      <c r="AB34" s="529"/>
      <c r="AC34" s="529"/>
      <c r="AD34" s="529"/>
      <c r="AE34" s="529"/>
    </row>
    <row r="35" spans="3:31" ht="15" customHeight="1">
      <c r="C35" s="819" t="str">
        <f>IF(Indice_index!$Z$1=1,"Juros e outros encargos","Interests and other charges")</f>
        <v>Juros e outros encargos</v>
      </c>
      <c r="D35" s="674"/>
      <c r="E35" s="986">
        <v>6950.9798698186814</v>
      </c>
      <c r="F35" s="246"/>
      <c r="G35" s="986">
        <v>6382.38636107</v>
      </c>
      <c r="H35" s="986">
        <v>632.00897064999992</v>
      </c>
      <c r="I35" s="986">
        <v>162.26403182359243</v>
      </c>
      <c r="J35" s="986">
        <v>6.5070547399999992</v>
      </c>
      <c r="K35" s="986">
        <v>6952.2962417535928</v>
      </c>
      <c r="L35" s="986"/>
      <c r="M35" s="986">
        <v>6117.635829679999</v>
      </c>
      <c r="N35" s="986">
        <v>320.94536121000004</v>
      </c>
      <c r="O35" s="986">
        <v>181.04181047729628</v>
      </c>
      <c r="P35" s="986">
        <v>6.8953015100000012</v>
      </c>
      <c r="Q35" s="986">
        <v>6571.3846757472948</v>
      </c>
      <c r="R35" s="246"/>
      <c r="S35" s="986">
        <v>6811.6674575227453</v>
      </c>
      <c r="T35" s="534"/>
      <c r="U35" s="535"/>
      <c r="V35" s="534"/>
      <c r="W35" s="536"/>
      <c r="X35" s="529"/>
      <c r="Y35" s="529"/>
      <c r="Z35" s="529"/>
      <c r="AA35" s="529"/>
      <c r="AB35" s="529"/>
      <c r="AC35" s="529"/>
      <c r="AD35" s="529"/>
      <c r="AE35" s="529"/>
    </row>
    <row r="36" spans="3:31" ht="15" customHeight="1">
      <c r="C36" s="819" t="str">
        <f>IF(Indice_index!$Z$1=1,"Transferências correntes","Current transfers")</f>
        <v>Transferências correntes</v>
      </c>
      <c r="D36" s="674"/>
      <c r="E36" s="986">
        <v>43772.156764577245</v>
      </c>
      <c r="F36" s="246"/>
      <c r="G36" s="986">
        <v>37389.805939690006</v>
      </c>
      <c r="H36" s="986">
        <v>13047.552430199998</v>
      </c>
      <c r="I36" s="986">
        <v>1134.6834540879011</v>
      </c>
      <c r="J36" s="986">
        <v>29805.776706309996</v>
      </c>
      <c r="K36" s="986">
        <v>43788.602517647894</v>
      </c>
      <c r="L36" s="986"/>
      <c r="M36" s="986">
        <v>41208.066167479985</v>
      </c>
      <c r="N36" s="986">
        <v>15553.869912810005</v>
      </c>
      <c r="O36" s="986">
        <v>1104.8697871447841</v>
      </c>
      <c r="P36" s="986">
        <v>30043.900785950005</v>
      </c>
      <c r="Q36" s="986">
        <v>46848.6108080548</v>
      </c>
      <c r="R36" s="246"/>
      <c r="S36" s="986">
        <v>43612.929022356679</v>
      </c>
      <c r="T36" s="534"/>
      <c r="U36" s="535"/>
      <c r="V36" s="534"/>
      <c r="W36" s="536"/>
      <c r="X36" s="529"/>
      <c r="Y36" s="529"/>
      <c r="Z36" s="529"/>
      <c r="AA36" s="529"/>
      <c r="AB36" s="529"/>
      <c r="AC36" s="529"/>
      <c r="AD36" s="529"/>
      <c r="AE36" s="529"/>
    </row>
    <row r="37" spans="3:31" ht="15" customHeight="1">
      <c r="C37" s="1504" t="str">
        <f>IF(Indice_index!$Z$1=1,"Administrações Públicas","General Government subsectors")</f>
        <v>Administrações Públicas</v>
      </c>
      <c r="D37" s="674"/>
      <c r="E37" s="986">
        <v>0</v>
      </c>
      <c r="F37" s="246"/>
      <c r="G37" s="986">
        <v>34116.042508930004</v>
      </c>
      <c r="H37" s="986">
        <v>1210.5223417500001</v>
      </c>
      <c r="I37" s="986">
        <v>164.48245226</v>
      </c>
      <c r="J37" s="986">
        <v>2098.1687097000004</v>
      </c>
      <c r="K37" s="986">
        <v>0</v>
      </c>
      <c r="L37" s="986"/>
      <c r="M37" s="986">
        <v>37951.989750569985</v>
      </c>
      <c r="N37" s="986">
        <v>1170.7871711800001</v>
      </c>
      <c r="O37" s="986">
        <v>177.42794898000002</v>
      </c>
      <c r="P37" s="986">
        <v>1761.8909746000002</v>
      </c>
      <c r="Q37" s="986">
        <v>0</v>
      </c>
      <c r="R37" s="246"/>
      <c r="S37" s="986">
        <v>0</v>
      </c>
      <c r="T37" s="534"/>
      <c r="U37" s="535"/>
      <c r="V37" s="534"/>
      <c r="W37" s="536"/>
      <c r="X37" s="529"/>
      <c r="Y37" s="529"/>
      <c r="Z37" s="529"/>
      <c r="AA37" s="529"/>
      <c r="AB37" s="529"/>
      <c r="AC37" s="529"/>
      <c r="AD37" s="529"/>
      <c r="AE37" s="529"/>
    </row>
    <row r="38" spans="3:31" ht="15" customHeight="1">
      <c r="C38" s="1504" t="str">
        <f>IF(Indice_index!$Z$1=1,"Outras","Others")</f>
        <v>Outras</v>
      </c>
      <c r="D38" s="674"/>
      <c r="E38" s="1505">
        <v>43772.156764577245</v>
      </c>
      <c r="F38" s="1506"/>
      <c r="G38" s="1505">
        <v>3273.7634307599997</v>
      </c>
      <c r="H38" s="1505">
        <v>11837.030088449997</v>
      </c>
      <c r="I38" s="1505">
        <v>970.20100182790111</v>
      </c>
      <c r="J38" s="1505">
        <v>27707.607996609997</v>
      </c>
      <c r="K38" s="1505">
        <v>43788.602517647894</v>
      </c>
      <c r="L38" s="1505"/>
      <c r="M38" s="1505">
        <v>3256.0764169099994</v>
      </c>
      <c r="N38" s="1505">
        <v>14383.082741630005</v>
      </c>
      <c r="O38" s="1505">
        <v>927.44183816478403</v>
      </c>
      <c r="P38" s="1505">
        <v>28282.009811350006</v>
      </c>
      <c r="Q38" s="1505">
        <v>46848.6108080548</v>
      </c>
      <c r="R38" s="1506"/>
      <c r="S38" s="1505">
        <v>43612.929022356679</v>
      </c>
      <c r="T38" s="534"/>
      <c r="U38" s="535"/>
      <c r="V38" s="534"/>
      <c r="W38" s="536"/>
      <c r="X38" s="529"/>
      <c r="Y38" s="529"/>
      <c r="Z38" s="529"/>
      <c r="AA38" s="529"/>
      <c r="AB38" s="529"/>
      <c r="AC38" s="529"/>
      <c r="AD38" s="529"/>
      <c r="AE38" s="529"/>
    </row>
    <row r="39" spans="3:31" ht="15" customHeight="1">
      <c r="C39" s="819" t="str">
        <f>IF(Indice_index!$Z$1=1,"Subsídios","Subsidies")</f>
        <v>Subsídios</v>
      </c>
      <c r="D39" s="674"/>
      <c r="E39" s="986">
        <v>2149.9127327166143</v>
      </c>
      <c r="F39" s="246"/>
      <c r="G39" s="986">
        <v>145.60353275000003</v>
      </c>
      <c r="H39" s="986">
        <v>966.79276689000005</v>
      </c>
      <c r="I39" s="986">
        <v>587.16663622226997</v>
      </c>
      <c r="J39" s="986">
        <v>980.2805059100001</v>
      </c>
      <c r="K39" s="986">
        <v>2152.4162870722703</v>
      </c>
      <c r="L39" s="986"/>
      <c r="M39" s="986">
        <v>203.92768914000001</v>
      </c>
      <c r="N39" s="986">
        <v>680.39569660000006</v>
      </c>
      <c r="O39" s="986">
        <v>594.52075261655511</v>
      </c>
      <c r="P39" s="986">
        <v>949.85109224999997</v>
      </c>
      <c r="Q39" s="986">
        <v>2032.1947429265551</v>
      </c>
      <c r="R39" s="246"/>
      <c r="S39" s="986">
        <v>2114.0344561551046</v>
      </c>
      <c r="T39" s="534"/>
      <c r="U39" s="535"/>
      <c r="V39" s="534"/>
      <c r="W39" s="536"/>
      <c r="X39" s="529"/>
      <c r="Y39" s="529"/>
      <c r="Z39" s="529"/>
      <c r="AA39" s="529"/>
      <c r="AB39" s="529"/>
      <c r="AC39" s="529"/>
      <c r="AD39" s="529"/>
      <c r="AE39" s="529"/>
    </row>
    <row r="40" spans="3:31" ht="15" customHeight="1">
      <c r="C40" s="819" t="str">
        <f>IF(Indice_index!$Z$1=1,"Outras despesas correntes","Other current expenditures")</f>
        <v>Outras despesas correntes</v>
      </c>
      <c r="D40" s="674"/>
      <c r="E40" s="986">
        <v>767.44553545876136</v>
      </c>
      <c r="F40" s="246"/>
      <c r="G40" s="986">
        <v>403.26112954999991</v>
      </c>
      <c r="H40" s="986">
        <v>234.45030436999991</v>
      </c>
      <c r="I40" s="986">
        <v>119.11528928003744</v>
      </c>
      <c r="J40" s="986">
        <v>9.9444814800000003</v>
      </c>
      <c r="K40" s="986">
        <v>766.77120468003727</v>
      </c>
      <c r="L40" s="986"/>
      <c r="M40" s="986">
        <v>439.42522985000005</v>
      </c>
      <c r="N40" s="986">
        <v>523.21361552000042</v>
      </c>
      <c r="O40" s="986">
        <v>145.80526252090775</v>
      </c>
      <c r="P40" s="986">
        <v>11.070536700000003</v>
      </c>
      <c r="Q40" s="986">
        <v>1119.5146445909081</v>
      </c>
      <c r="R40" s="246"/>
      <c r="S40" s="986">
        <v>2461.5376299429199</v>
      </c>
      <c r="T40" s="534"/>
      <c r="U40" s="535"/>
      <c r="V40" s="534"/>
      <c r="W40" s="536"/>
      <c r="X40" s="529"/>
      <c r="Y40" s="529"/>
      <c r="Z40" s="529"/>
      <c r="AA40" s="529"/>
      <c r="AB40" s="529"/>
      <c r="AC40" s="529"/>
      <c r="AD40" s="529"/>
      <c r="AE40" s="529"/>
    </row>
    <row r="41" spans="3:31" ht="15" customHeight="1">
      <c r="C41" s="819" t="str">
        <f>IF(Indice_index!$Z$1=1,"Diferenças de consolidação","Consolidation differences")</f>
        <v>Diferenças de consolidação</v>
      </c>
      <c r="D41" s="674"/>
      <c r="E41" s="986">
        <v>245.36892270998956</v>
      </c>
      <c r="F41" s="246"/>
      <c r="G41" s="986">
        <v>1.8030588800001341</v>
      </c>
      <c r="H41" s="986">
        <v>6.6768574799971248</v>
      </c>
      <c r="I41" s="986">
        <v>5.9661280400000578</v>
      </c>
      <c r="J41" s="986">
        <v>0</v>
      </c>
      <c r="K41" s="986">
        <v>245.34728441998359</v>
      </c>
      <c r="L41" s="986"/>
      <c r="M41" s="986">
        <v>7.1839270200002829</v>
      </c>
      <c r="N41" s="986">
        <v>31.742849720002198</v>
      </c>
      <c r="O41" s="986">
        <v>9.5272917399997823</v>
      </c>
      <c r="P41" s="986">
        <v>0</v>
      </c>
      <c r="Q41" s="986">
        <v>48.454068480002263</v>
      </c>
      <c r="R41" s="246"/>
      <c r="S41" s="986">
        <v>237.31880099884347</v>
      </c>
      <c r="T41" s="534"/>
      <c r="U41" s="535"/>
      <c r="V41" s="534"/>
      <c r="W41" s="536"/>
      <c r="X41" s="529"/>
      <c r="Y41" s="529"/>
      <c r="Z41" s="529"/>
      <c r="AA41" s="529"/>
      <c r="AB41" s="529"/>
      <c r="AC41" s="529"/>
      <c r="AD41" s="529"/>
      <c r="AE41" s="529"/>
    </row>
    <row r="42" spans="3:31" s="526" customFormat="1" ht="15" customHeight="1">
      <c r="C42" s="318" t="str">
        <f>IF(Indice_index!$Z$1=1,"Despesa de capital","Capital expenditure")</f>
        <v>Despesa de capital</v>
      </c>
      <c r="D42" s="1507"/>
      <c r="E42" s="1503">
        <f>E43+E44+E47+E48</f>
        <v>8347.7309172296245</v>
      </c>
      <c r="F42" s="246"/>
      <c r="G42" s="1503">
        <f>G43+G44+G47+G48</f>
        <v>3234.1108962199992</v>
      </c>
      <c r="H42" s="1503">
        <f t="shared" ref="H42:K42" si="24">H43+H44+H47+H48</f>
        <v>4196.3242257499978</v>
      </c>
      <c r="I42" s="1503">
        <f t="shared" si="24"/>
        <v>3338.5805971971786</v>
      </c>
      <c r="J42" s="1503">
        <f t="shared" si="24"/>
        <v>42.826696200000008</v>
      </c>
      <c r="K42" s="1503">
        <f t="shared" si="24"/>
        <v>8284.868713677175</v>
      </c>
      <c r="L42" s="1503"/>
      <c r="M42" s="1503">
        <f>M43+M44+M47+M48</f>
        <v>2997.3929908000014</v>
      </c>
      <c r="N42" s="1503">
        <f t="shared" ref="N42" si="25">N43+N44+N47+N48</f>
        <v>4518.4730881200021</v>
      </c>
      <c r="O42" s="1503">
        <f t="shared" ref="O42" si="26">O43+O44+O47+O48</f>
        <v>3222.6740907729591</v>
      </c>
      <c r="P42" s="1503">
        <f t="shared" ref="P42" si="27">P43+P44+P47+P48</f>
        <v>51.87063177000001</v>
      </c>
      <c r="Q42" s="1503">
        <f t="shared" ref="Q42" si="28">Q43+Q44+Q47+Q48</f>
        <v>8643.8840585229609</v>
      </c>
      <c r="R42" s="246"/>
      <c r="S42" s="1503">
        <f>S43+S44+S47+S48</f>
        <v>11396.598151081178</v>
      </c>
      <c r="T42" s="531"/>
      <c r="U42" s="540"/>
      <c r="V42" s="531"/>
      <c r="W42" s="532"/>
      <c r="X42" s="533"/>
      <c r="Y42" s="533"/>
      <c r="Z42" s="533"/>
      <c r="AA42" s="533"/>
      <c r="AB42" s="533"/>
      <c r="AC42" s="533"/>
      <c r="AD42" s="533"/>
      <c r="AE42" s="533"/>
    </row>
    <row r="43" spans="3:31" ht="15" customHeight="1">
      <c r="C43" s="819" t="str">
        <f>IF(Indice_index!$Z$1=1,"Investimentos","Investments")</f>
        <v>Investimentos</v>
      </c>
      <c r="D43" s="674"/>
      <c r="E43" s="986">
        <v>6350.2217419787266</v>
      </c>
      <c r="F43" s="246"/>
      <c r="G43" s="986">
        <v>680.48988800999939</v>
      </c>
      <c r="H43" s="986">
        <v>2743.4523255899981</v>
      </c>
      <c r="I43" s="986">
        <v>2818.0911920540821</v>
      </c>
      <c r="J43" s="986">
        <v>38.651164250000008</v>
      </c>
      <c r="K43" s="986">
        <v>6280.6845699040796</v>
      </c>
      <c r="L43" s="986"/>
      <c r="M43" s="986">
        <v>861.7503145100012</v>
      </c>
      <c r="N43" s="986">
        <v>3010.8888293900013</v>
      </c>
      <c r="O43" s="986">
        <v>2745.3835869024056</v>
      </c>
      <c r="P43" s="986">
        <v>45.732888740000007</v>
      </c>
      <c r="Q43" s="986">
        <v>6663.7556195424077</v>
      </c>
      <c r="R43" s="246"/>
      <c r="S43" s="986">
        <v>9105.9564992394389</v>
      </c>
      <c r="T43" s="534"/>
      <c r="U43" s="535"/>
      <c r="V43" s="534"/>
      <c r="W43" s="536"/>
      <c r="X43" s="529"/>
      <c r="Y43" s="529"/>
      <c r="Z43" s="529"/>
      <c r="AA43" s="529"/>
      <c r="AB43" s="529"/>
      <c r="AC43" s="529"/>
      <c r="AD43" s="529"/>
      <c r="AE43" s="529"/>
    </row>
    <row r="44" spans="3:31" ht="15" customHeight="1">
      <c r="C44" s="819" t="str">
        <f>IF(Indice_index!$Z$1=1,"Transferências de capital","Capital transfers")</f>
        <v>Transferências de capital</v>
      </c>
      <c r="D44" s="674"/>
      <c r="E44" s="986">
        <v>1784.3860212726904</v>
      </c>
      <c r="F44" s="246"/>
      <c r="G44" s="986">
        <v>2519.6496300799995</v>
      </c>
      <c r="H44" s="986">
        <v>1285.30045563</v>
      </c>
      <c r="I44" s="986">
        <v>497.35436331309671</v>
      </c>
      <c r="J44" s="986">
        <v>4.1755319499999999</v>
      </c>
      <c r="K44" s="986">
        <v>1779.5062792830968</v>
      </c>
      <c r="L44" s="986"/>
      <c r="M44" s="986">
        <v>2103.9263939699999</v>
      </c>
      <c r="N44" s="986">
        <v>1150.7634322599999</v>
      </c>
      <c r="O44" s="986">
        <v>462.29395784874725</v>
      </c>
      <c r="P44" s="986">
        <v>6.1377430300000002</v>
      </c>
      <c r="Q44" s="986">
        <v>1574.9040750987472</v>
      </c>
      <c r="R44" s="246"/>
      <c r="S44" s="986">
        <v>2030.9235200694229</v>
      </c>
      <c r="T44" s="534"/>
      <c r="U44" s="535"/>
      <c r="V44" s="534"/>
      <c r="W44" s="536"/>
      <c r="X44" s="529"/>
      <c r="Y44" s="529"/>
      <c r="Z44" s="529"/>
      <c r="AA44" s="529"/>
      <c r="AB44" s="529"/>
      <c r="AC44" s="529"/>
      <c r="AD44" s="529"/>
      <c r="AE44" s="529"/>
    </row>
    <row r="45" spans="3:31" ht="15" customHeight="1">
      <c r="C45" s="1504" t="str">
        <f>IF(Indice_index!$Z$1=1,"Administrações Públicas","General Government subsectors")</f>
        <v>Administrações Públicas</v>
      </c>
      <c r="D45" s="674"/>
      <c r="E45" s="986">
        <v>0</v>
      </c>
      <c r="F45" s="246"/>
      <c r="G45" s="986">
        <v>2456.2894265899995</v>
      </c>
      <c r="H45" s="986">
        <v>56.16976686000001</v>
      </c>
      <c r="I45" s="986">
        <v>14.514508240000001</v>
      </c>
      <c r="J45" s="986">
        <v>0</v>
      </c>
      <c r="K45" s="986">
        <v>0</v>
      </c>
      <c r="L45" s="986"/>
      <c r="M45" s="986">
        <v>2045.97101045</v>
      </c>
      <c r="N45" s="986">
        <v>87.431928449999987</v>
      </c>
      <c r="O45" s="986">
        <v>14.814513109999993</v>
      </c>
      <c r="P45" s="986">
        <v>0</v>
      </c>
      <c r="Q45" s="986">
        <v>0</v>
      </c>
      <c r="R45" s="246"/>
      <c r="S45" s="986">
        <v>0</v>
      </c>
      <c r="T45" s="534"/>
      <c r="U45" s="535"/>
      <c r="V45" s="534"/>
      <c r="W45" s="536"/>
      <c r="X45" s="529"/>
      <c r="Y45" s="529"/>
      <c r="Z45" s="529"/>
      <c r="AA45" s="529"/>
      <c r="AB45" s="529"/>
      <c r="AC45" s="529"/>
      <c r="AD45" s="529"/>
      <c r="AE45" s="529"/>
    </row>
    <row r="46" spans="3:31" ht="15" customHeight="1">
      <c r="C46" s="1504" t="str">
        <f>IF(Indice_index!$Z$1=1,"Outras","Others")</f>
        <v>Outras</v>
      </c>
      <c r="D46" s="674"/>
      <c r="E46" s="1505">
        <v>1784.3860212726904</v>
      </c>
      <c r="F46" s="1506"/>
      <c r="G46" s="1505">
        <v>63.360203490000004</v>
      </c>
      <c r="H46" s="1505">
        <v>1229.13068877</v>
      </c>
      <c r="I46" s="1505">
        <v>482.83985507309671</v>
      </c>
      <c r="J46" s="1505">
        <v>4.1755319499999999</v>
      </c>
      <c r="K46" s="1505">
        <v>1779.5062792830968</v>
      </c>
      <c r="L46" s="1505"/>
      <c r="M46" s="1505">
        <v>57.955383519999998</v>
      </c>
      <c r="N46" s="1505">
        <v>1063.33150381</v>
      </c>
      <c r="O46" s="1505">
        <v>447.47944473874725</v>
      </c>
      <c r="P46" s="1505">
        <v>6.1377430300000002</v>
      </c>
      <c r="Q46" s="1505">
        <v>1574.9040750987472</v>
      </c>
      <c r="R46" s="1506"/>
      <c r="S46" s="1505">
        <v>2030.9235200694229</v>
      </c>
      <c r="T46" s="534"/>
      <c r="U46" s="535"/>
      <c r="V46" s="534"/>
      <c r="W46" s="536"/>
      <c r="X46" s="529"/>
      <c r="Y46" s="529"/>
      <c r="Z46" s="529"/>
      <c r="AA46" s="529"/>
      <c r="AB46" s="529"/>
      <c r="AC46" s="529"/>
      <c r="AD46" s="529"/>
      <c r="AE46" s="529"/>
    </row>
    <row r="47" spans="3:31" ht="15" customHeight="1">
      <c r="C47" s="819" t="str">
        <f>IF(Indice_index!$Z$1=1,"Outras despesas de capital","Other capital expenditures")</f>
        <v>Outras despesas de capital</v>
      </c>
      <c r="D47" s="674"/>
      <c r="E47" s="986">
        <v>161.298410108208</v>
      </c>
      <c r="F47" s="246"/>
      <c r="G47" s="986">
        <v>33.971378130000005</v>
      </c>
      <c r="H47" s="986">
        <v>115.82734792000001</v>
      </c>
      <c r="I47" s="986">
        <v>14.866375069999998</v>
      </c>
      <c r="J47" s="986">
        <v>0</v>
      </c>
      <c r="K47" s="986">
        <v>164.66510112000003</v>
      </c>
      <c r="L47" s="986"/>
      <c r="M47" s="986">
        <v>15.158299400000001</v>
      </c>
      <c r="N47" s="986">
        <v>314.56445734999994</v>
      </c>
      <c r="O47" s="986">
        <v>14.996546021806299</v>
      </c>
      <c r="P47" s="986">
        <v>0</v>
      </c>
      <c r="Q47" s="986">
        <v>344.71930277180621</v>
      </c>
      <c r="R47" s="246"/>
      <c r="S47" s="986">
        <v>257.19700877231622</v>
      </c>
      <c r="T47" s="534"/>
      <c r="U47" s="535"/>
      <c r="V47" s="534"/>
      <c r="W47" s="536"/>
      <c r="X47" s="529"/>
      <c r="Y47" s="529"/>
      <c r="Z47" s="529"/>
      <c r="AA47" s="529"/>
      <c r="AB47" s="529"/>
      <c r="AC47" s="529"/>
      <c r="AD47" s="529"/>
      <c r="AE47" s="529"/>
    </row>
    <row r="48" spans="3:31" ht="15" customHeight="1">
      <c r="C48" s="819" t="str">
        <f>IF(Indice_index!$Z$1=1,"Diferenças de consolidação","Consolidation differences")</f>
        <v>Diferenças de consolidação</v>
      </c>
      <c r="D48" s="674"/>
      <c r="E48" s="986">
        <v>51.824743870000162</v>
      </c>
      <c r="F48" s="246"/>
      <c r="G48" s="986">
        <v>0</v>
      </c>
      <c r="H48" s="986">
        <v>51.744096610000156</v>
      </c>
      <c r="I48" s="986">
        <v>8.2686667600000021</v>
      </c>
      <c r="J48" s="986">
        <v>0</v>
      </c>
      <c r="K48" s="986">
        <v>60.012763370000158</v>
      </c>
      <c r="L48" s="986"/>
      <c r="M48" s="986">
        <v>16.557982920000001</v>
      </c>
      <c r="N48" s="986">
        <v>42.256369120000159</v>
      </c>
      <c r="O48" s="986">
        <v>0</v>
      </c>
      <c r="P48" s="986">
        <v>0</v>
      </c>
      <c r="Q48" s="986">
        <v>60.505061109999843</v>
      </c>
      <c r="R48" s="246"/>
      <c r="S48" s="986">
        <v>2.5211229999999887</v>
      </c>
      <c r="T48" s="534"/>
      <c r="U48" s="535"/>
      <c r="V48" s="534"/>
      <c r="W48" s="536"/>
      <c r="X48" s="529"/>
      <c r="Y48" s="529"/>
      <c r="Z48" s="529"/>
      <c r="AA48" s="529"/>
      <c r="AB48" s="529"/>
      <c r="AC48" s="529"/>
      <c r="AD48" s="529"/>
      <c r="AE48" s="529"/>
    </row>
    <row r="49" spans="3:31" s="537" customFormat="1" ht="4.5" customHeight="1">
      <c r="C49" s="800"/>
      <c r="D49" s="800"/>
      <c r="E49" s="1511"/>
      <c r="F49" s="800"/>
      <c r="G49" s="1511"/>
      <c r="H49" s="1511"/>
      <c r="I49" s="1511"/>
      <c r="J49" s="1511"/>
      <c r="K49" s="1511"/>
      <c r="L49" s="1511"/>
      <c r="M49" s="1511"/>
      <c r="N49" s="1511"/>
      <c r="O49" s="1511"/>
      <c r="P49" s="1511"/>
      <c r="Q49" s="1511"/>
      <c r="R49" s="800"/>
      <c r="S49" s="1511"/>
      <c r="T49" s="534"/>
      <c r="U49" s="535"/>
      <c r="V49" s="535"/>
      <c r="W49" s="536"/>
      <c r="X49" s="529"/>
      <c r="Y49" s="529"/>
      <c r="Z49" s="535"/>
      <c r="AA49" s="535"/>
      <c r="AB49" s="536"/>
      <c r="AC49" s="529"/>
      <c r="AD49" s="529"/>
      <c r="AE49" s="529"/>
    </row>
    <row r="50" spans="3:31" s="526" customFormat="1" ht="15" customHeight="1">
      <c r="C50" s="1509" t="str">
        <f>IF(Indice_index!$Z$1=1,"Despesa efetiva","Effective expenditure")</f>
        <v>Despesa efetiva</v>
      </c>
      <c r="D50" s="318"/>
      <c r="E50" s="1510">
        <f>E29+E42</f>
        <v>100561.59102115945</v>
      </c>
      <c r="F50" s="1503"/>
      <c r="G50" s="1510">
        <f t="shared" ref="G50:J50" si="29">G29+G42</f>
        <v>59545.456921829988</v>
      </c>
      <c r="H50" s="1510">
        <f t="shared" si="29"/>
        <v>37188.726359430075</v>
      </c>
      <c r="I50" s="1510">
        <f t="shared" si="29"/>
        <v>13269.527461250127</v>
      </c>
      <c r="J50" s="1510">
        <f t="shared" si="29"/>
        <v>31238.276845639997</v>
      </c>
      <c r="K50" s="1510">
        <f>K29+K42</f>
        <v>100592.02022714016</v>
      </c>
      <c r="L50" s="1503"/>
      <c r="M50" s="1510">
        <f t="shared" ref="M50:P50" si="30">M29+M42</f>
        <v>62913.280187529977</v>
      </c>
      <c r="N50" s="1510">
        <f t="shared" si="30"/>
        <v>41139.205164180014</v>
      </c>
      <c r="O50" s="1510">
        <f t="shared" si="30"/>
        <v>13862.256084595756</v>
      </c>
      <c r="P50" s="1510">
        <f t="shared" si="30"/>
        <v>31456.936070540007</v>
      </c>
      <c r="Q50" s="1510">
        <f>Q29+Q42</f>
        <v>105705.79563196578</v>
      </c>
      <c r="R50" s="1503"/>
      <c r="S50" s="1510">
        <f>S29+S42</f>
        <v>106586.19638522081</v>
      </c>
      <c r="T50" s="531"/>
      <c r="U50" s="540"/>
      <c r="V50" s="531"/>
      <c r="W50" s="532"/>
      <c r="X50" s="533"/>
      <c r="Y50" s="533"/>
      <c r="Z50" s="540"/>
      <c r="AA50" s="531"/>
      <c r="AB50" s="532"/>
      <c r="AC50" s="533"/>
      <c r="AD50" s="533"/>
      <c r="AE50" s="533"/>
    </row>
    <row r="51" spans="3:31" s="537" customFormat="1" ht="4.5" customHeight="1">
      <c r="C51" s="819"/>
      <c r="D51" s="819"/>
      <c r="E51" s="1512"/>
      <c r="F51" s="1513"/>
      <c r="G51" s="1512"/>
      <c r="H51" s="1512"/>
      <c r="I51" s="1512"/>
      <c r="J51" s="1512"/>
      <c r="K51" s="1512"/>
      <c r="L51" s="1514"/>
      <c r="M51" s="1512"/>
      <c r="N51" s="1512"/>
      <c r="O51" s="1512"/>
      <c r="P51" s="1512"/>
      <c r="Q51" s="1512"/>
      <c r="R51" s="1513"/>
      <c r="S51" s="1512"/>
      <c r="T51" s="534"/>
      <c r="U51" s="535"/>
      <c r="V51" s="534"/>
      <c r="W51" s="536"/>
      <c r="X51" s="529"/>
      <c r="Y51" s="529"/>
      <c r="Z51" s="529"/>
      <c r="AA51" s="529"/>
      <c r="AB51" s="529"/>
      <c r="AC51" s="529"/>
      <c r="AD51" s="529"/>
      <c r="AE51" s="529"/>
    </row>
    <row r="52" spans="3:31" s="526" customFormat="1" ht="15" customHeight="1">
      <c r="C52" s="1509" t="str">
        <f>IF(Indice_index!$Z$1=1,"Saldo global","Overall balance")</f>
        <v>Saldo global</v>
      </c>
      <c r="D52" s="318"/>
      <c r="E52" s="1510">
        <f>+E27-E50</f>
        <v>-8643.1666095808323</v>
      </c>
      <c r="F52" s="1503"/>
      <c r="G52" s="1510">
        <f t="shared" ref="G52:J52" si="31">+G27-G50</f>
        <v>-9471.3255157399835</v>
      </c>
      <c r="H52" s="1510">
        <f t="shared" si="31"/>
        <v>-1151.3942142800443</v>
      </c>
      <c r="I52" s="1510">
        <f t="shared" si="31"/>
        <v>-314.46082058920365</v>
      </c>
      <c r="J52" s="1510">
        <f t="shared" si="31"/>
        <v>2328.2650340599976</v>
      </c>
      <c r="K52" s="1510">
        <f>+K27-K50</f>
        <v>-8608.915516549212</v>
      </c>
      <c r="L52" s="1503"/>
      <c r="M52" s="1510">
        <f t="shared" ref="M52:P52" si="32">+M27-M50</f>
        <v>-6033.9918892299756</v>
      </c>
      <c r="N52" s="1510">
        <f t="shared" si="32"/>
        <v>-1761.9117617700322</v>
      </c>
      <c r="O52" s="1510">
        <f t="shared" si="32"/>
        <v>139.21939001745523</v>
      </c>
      <c r="P52" s="1510">
        <f t="shared" si="32"/>
        <v>4065.851351009991</v>
      </c>
      <c r="Q52" s="1510">
        <f>+Q27-Q50</f>
        <v>-3590.8329099725961</v>
      </c>
      <c r="R52" s="1503"/>
      <c r="S52" s="1510">
        <f>+S27-S50</f>
        <v>-5191.6764152122778</v>
      </c>
      <c r="T52" s="531"/>
      <c r="AD52" s="533"/>
      <c r="AE52" s="533"/>
    </row>
    <row r="53" spans="3:31" ht="15" customHeight="1">
      <c r="C53" s="773" t="str">
        <f>IF(Indice_index!$Z$1=1,"Despesa primária","Primary expenditure")</f>
        <v>Despesa primária</v>
      </c>
      <c r="D53" s="777"/>
      <c r="E53" s="777">
        <f t="shared" ref="E53" si="33">E50-E35</f>
        <v>93610.611151340767</v>
      </c>
      <c r="F53" s="777"/>
      <c r="G53" s="777">
        <f t="shared" ref="G53:K53" si="34">G50-G35</f>
        <v>53163.070560759988</v>
      </c>
      <c r="H53" s="777">
        <f t="shared" si="34"/>
        <v>36556.717388780075</v>
      </c>
      <c r="I53" s="777">
        <f t="shared" si="34"/>
        <v>13107.263429426535</v>
      </c>
      <c r="J53" s="777">
        <f t="shared" si="34"/>
        <v>31231.769790899998</v>
      </c>
      <c r="K53" s="777">
        <f t="shared" si="34"/>
        <v>93639.723985386576</v>
      </c>
      <c r="L53" s="777"/>
      <c r="M53" s="777">
        <f t="shared" ref="M53:Q53" si="35">M50-M35</f>
        <v>56795.644357849975</v>
      </c>
      <c r="N53" s="777">
        <f t="shared" si="35"/>
        <v>40818.259802970017</v>
      </c>
      <c r="O53" s="777">
        <f t="shared" si="35"/>
        <v>13681.21427411846</v>
      </c>
      <c r="P53" s="777">
        <f t="shared" si="35"/>
        <v>31450.040769030005</v>
      </c>
      <c r="Q53" s="777">
        <f t="shared" si="35"/>
        <v>99134.410956218489</v>
      </c>
      <c r="R53" s="777"/>
      <c r="S53" s="777">
        <f t="shared" ref="S53" si="36">S50-S35</f>
        <v>99774.528927698062</v>
      </c>
      <c r="T53" s="534"/>
      <c r="X53" s="17"/>
      <c r="Y53" s="17"/>
      <c r="Z53" s="17"/>
      <c r="AA53" s="17"/>
      <c r="AB53" s="17"/>
      <c r="AC53" s="17"/>
      <c r="AD53" s="529"/>
      <c r="AE53" s="529"/>
    </row>
    <row r="54" spans="3:31" ht="15" customHeight="1">
      <c r="C54" s="773" t="str">
        <f>IF(Indice_index!$Z$1=1," Saldo corrente","Current balance")</f>
        <v xml:space="preserve"> Saldo corrente</v>
      </c>
      <c r="D54" s="777"/>
      <c r="E54" s="777">
        <f t="shared" ref="E54" si="37">E9-E29</f>
        <v>-2447.8649637054041</v>
      </c>
      <c r="F54" s="777"/>
      <c r="G54" s="777">
        <f t="shared" ref="G54:K54" si="38">G9-G29</f>
        <v>-6321.9823134799808</v>
      </c>
      <c r="H54" s="777">
        <f t="shared" si="38"/>
        <v>10.514544729951012</v>
      </c>
      <c r="I54" s="777">
        <f t="shared" si="38"/>
        <v>1444.0781789842367</v>
      </c>
      <c r="J54" s="777">
        <f t="shared" si="38"/>
        <v>2370.1762771700014</v>
      </c>
      <c r="K54" s="777">
        <f t="shared" si="38"/>
        <v>-2497.2133125957771</v>
      </c>
      <c r="L54" s="777"/>
      <c r="M54" s="777">
        <f>M9-M29</f>
        <v>-3405.4759602899794</v>
      </c>
      <c r="N54" s="777">
        <f t="shared" ref="N54:Q54" si="39">N9-N29</f>
        <v>-57.968971460031753</v>
      </c>
      <c r="O54" s="777">
        <f t="shared" si="39"/>
        <v>2066.2037069249927</v>
      </c>
      <c r="P54" s="777">
        <f t="shared" si="39"/>
        <v>4116.5389517299918</v>
      </c>
      <c r="Q54" s="777">
        <f t="shared" si="39"/>
        <v>2719.2977269049443</v>
      </c>
      <c r="R54" s="777"/>
      <c r="S54" s="777">
        <f t="shared" ref="S54" si="40">S9-S29</f>
        <v>1587.5003282396065</v>
      </c>
      <c r="T54" s="534"/>
      <c r="X54" s="17"/>
      <c r="Y54" s="17"/>
      <c r="Z54" s="17"/>
      <c r="AA54" s="17"/>
      <c r="AB54" s="17"/>
      <c r="AC54" s="17"/>
      <c r="AD54" s="529"/>
      <c r="AE54" s="529"/>
    </row>
    <row r="55" spans="3:31" ht="15" customHeight="1">
      <c r="C55" s="773" t="str">
        <f>IF(Indice_index!$Z$1=1,"Saldo de capital","Capital balance")</f>
        <v>Saldo de capital</v>
      </c>
      <c r="D55" s="179"/>
      <c r="E55" s="986">
        <f t="shared" ref="E55" si="41">E19-E42</f>
        <v>-6195.3016458754337</v>
      </c>
      <c r="F55" s="986"/>
      <c r="G55" s="986">
        <f t="shared" ref="G55:K55" si="42">G19-G42</f>
        <v>-3149.3432022599991</v>
      </c>
      <c r="H55" s="986">
        <f t="shared" si="42"/>
        <v>-1161.9087590099975</v>
      </c>
      <c r="I55" s="986">
        <f t="shared" si="42"/>
        <v>-1758.5389995734406</v>
      </c>
      <c r="J55" s="986">
        <f t="shared" si="42"/>
        <v>-41.911243110000008</v>
      </c>
      <c r="K55" s="986">
        <f t="shared" si="42"/>
        <v>-6111.7022039534368</v>
      </c>
      <c r="L55" s="986"/>
      <c r="M55" s="986">
        <f>M19-M42</f>
        <v>-2628.5159289400012</v>
      </c>
      <c r="N55" s="986">
        <f t="shared" ref="N55:Q55" si="43">N19-N42</f>
        <v>-1703.9427903100027</v>
      </c>
      <c r="O55" s="986">
        <f t="shared" si="43"/>
        <v>-1926.984316907538</v>
      </c>
      <c r="P55" s="986">
        <f t="shared" si="43"/>
        <v>-50.687600720000013</v>
      </c>
      <c r="Q55" s="986">
        <f t="shared" si="43"/>
        <v>-6310.1306368775395</v>
      </c>
      <c r="R55" s="986"/>
      <c r="S55" s="986">
        <f t="shared" ref="S55" si="44">S19-S42</f>
        <v>-6779.176743451877</v>
      </c>
      <c r="T55" s="534"/>
      <c r="X55" s="17"/>
      <c r="Y55" s="17"/>
      <c r="Z55" s="17"/>
      <c r="AA55" s="17"/>
      <c r="AB55" s="17"/>
      <c r="AC55" s="17"/>
      <c r="AD55" s="529"/>
      <c r="AE55" s="529"/>
    </row>
    <row r="56" spans="3:31" s="20" customFormat="1" ht="15" customHeight="1">
      <c r="C56" s="787" t="str">
        <f>IF(Indice_index!$Z$1=1,"Saldo primário","Primary balance")</f>
        <v>Saldo primário</v>
      </c>
      <c r="D56" s="1515"/>
      <c r="E56" s="1516">
        <f t="shared" ref="E56" si="45">E27-E53</f>
        <v>-1692.1867397621536</v>
      </c>
      <c r="F56" s="1516"/>
      <c r="G56" s="1516">
        <f t="shared" ref="G56:K56" si="46">G27-G53</f>
        <v>-3088.9391546699844</v>
      </c>
      <c r="H56" s="1516">
        <f t="shared" si="46"/>
        <v>-519.38524363004399</v>
      </c>
      <c r="I56" s="1516">
        <f t="shared" si="46"/>
        <v>-152.19678876561193</v>
      </c>
      <c r="J56" s="1516">
        <f t="shared" si="46"/>
        <v>2334.7720887999967</v>
      </c>
      <c r="K56" s="1516">
        <f t="shared" si="46"/>
        <v>-1656.6192747956229</v>
      </c>
      <c r="L56" s="1516"/>
      <c r="M56" s="1516">
        <f>M27-M53</f>
        <v>83.643940450027003</v>
      </c>
      <c r="N56" s="1516">
        <f t="shared" ref="N56:Q56" si="47">N27-N53</f>
        <v>-1440.9664005600353</v>
      </c>
      <c r="O56" s="1516">
        <f t="shared" si="47"/>
        <v>320.26120049475139</v>
      </c>
      <c r="P56" s="1516">
        <f t="shared" si="47"/>
        <v>4072.7466525199925</v>
      </c>
      <c r="Q56" s="1516">
        <f t="shared" si="47"/>
        <v>2980.5517657746968</v>
      </c>
      <c r="R56" s="1516"/>
      <c r="S56" s="1516">
        <f t="shared" ref="S56" si="48">S27-S53</f>
        <v>1619.9910423104739</v>
      </c>
      <c r="T56" s="534"/>
      <c r="U56" s="541"/>
      <c r="V56" s="17"/>
      <c r="W56" s="17"/>
      <c r="X56" s="17"/>
      <c r="Y56" s="17"/>
      <c r="Z56" s="17"/>
      <c r="AA56" s="17"/>
      <c r="AB56" s="17"/>
      <c r="AC56" s="17"/>
      <c r="AD56" s="529"/>
      <c r="AE56" s="529"/>
    </row>
    <row r="57" spans="3:31" ht="4.5" customHeight="1">
      <c r="C57" s="1674"/>
      <c r="D57" s="1674"/>
      <c r="E57" s="1674"/>
      <c r="F57" s="1674"/>
      <c r="G57" s="1674"/>
      <c r="H57" s="1674"/>
      <c r="I57" s="1674"/>
      <c r="J57" s="1674"/>
      <c r="K57" s="1674"/>
      <c r="L57" s="1674"/>
      <c r="M57" s="1674"/>
      <c r="N57" s="1674"/>
      <c r="O57" s="1674"/>
      <c r="P57" s="1674"/>
      <c r="Q57" s="1674"/>
      <c r="R57" s="1517"/>
      <c r="S57" s="1517"/>
      <c r="X57" s="17"/>
      <c r="Y57" s="17"/>
      <c r="Z57" s="17"/>
      <c r="AA57" s="17"/>
      <c r="AB57" s="17"/>
      <c r="AC57" s="17"/>
      <c r="AD57" s="529"/>
      <c r="AE57" s="529"/>
    </row>
    <row r="58" spans="3:31" ht="15" customHeight="1">
      <c r="C58" s="1518" t="str">
        <f>IF(Indice_index!$Z$1=1,"Notas:","Notes:")</f>
        <v>Notas:</v>
      </c>
      <c r="D58" s="674"/>
      <c r="E58" s="675"/>
      <c r="F58" s="674"/>
      <c r="G58" s="674"/>
      <c r="H58" s="674"/>
      <c r="I58" s="674"/>
      <c r="J58" s="674"/>
      <c r="K58" s="674"/>
      <c r="L58" s="676"/>
      <c r="M58" s="674"/>
      <c r="N58" s="674"/>
      <c r="O58" s="674"/>
      <c r="P58" s="674"/>
      <c r="Q58" s="1519"/>
      <c r="R58" s="674"/>
      <c r="S58" s="675"/>
      <c r="X58" s="17"/>
      <c r="Y58" s="17"/>
      <c r="Z58" s="17"/>
      <c r="AA58" s="17"/>
      <c r="AB58" s="17"/>
      <c r="AC58" s="17"/>
      <c r="AD58" s="529"/>
      <c r="AE58" s="529"/>
    </row>
    <row r="59" spans="3:31" ht="24.75" customHeight="1">
      <c r="C59" s="1674"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 Administração Regional e Local acima identificada difere da soma da execução dos setores (14 - Adm R e 15 - Adm Loc) devido à inclusão de uma estimativa das freguesias na conta consolidada.</v>
      </c>
      <c r="D59" s="1674"/>
      <c r="E59" s="1674"/>
      <c r="F59" s="1674"/>
      <c r="G59" s="1674"/>
      <c r="H59" s="1674"/>
      <c r="I59" s="1674"/>
      <c r="J59" s="1674"/>
      <c r="K59" s="1674"/>
      <c r="L59" s="1674"/>
      <c r="M59" s="1674"/>
      <c r="N59" s="1674"/>
      <c r="O59" s="1674"/>
      <c r="P59" s="1674"/>
      <c r="Q59" s="1674"/>
      <c r="R59" s="1674"/>
      <c r="S59" s="1674"/>
      <c r="U59" s="542"/>
      <c r="X59" s="17"/>
      <c r="Y59" s="17"/>
      <c r="Z59" s="17"/>
      <c r="AA59" s="17"/>
      <c r="AB59" s="17"/>
      <c r="AC59" s="17"/>
      <c r="AD59" s="529"/>
      <c r="AE59" s="529"/>
    </row>
    <row r="60" spans="3:31" ht="32.25" customHeight="1">
      <c r="C60" s="1674"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Os valores apresentados em dezembro de 2021 para os subsetores Estado, Serviços e Fundos Autónomos e Segurança Social dizem respeito à Conta Geral do Estado de 2021, enquanto que para a Adm. Regional diferem dos apresentados na CGE 2021 por refletirem informação mais atualizada, designadamente a disponibilizada nas Contas de Gerência de 2021.</v>
      </c>
      <c r="D60" s="1674"/>
      <c r="E60" s="1674"/>
      <c r="F60" s="1674"/>
      <c r="G60" s="1674"/>
      <c r="H60" s="1674"/>
      <c r="I60" s="1674"/>
      <c r="J60" s="1674"/>
      <c r="K60" s="1674"/>
      <c r="L60" s="1674"/>
      <c r="M60" s="1674"/>
      <c r="N60" s="1674"/>
      <c r="O60" s="1674"/>
      <c r="P60" s="1674"/>
      <c r="Q60" s="1674"/>
      <c r="R60" s="1520"/>
      <c r="S60" s="1520"/>
      <c r="X60" s="17"/>
      <c r="Y60" s="17"/>
      <c r="Z60" s="17"/>
      <c r="AA60" s="17"/>
      <c r="AB60" s="17"/>
      <c r="AC60" s="17"/>
      <c r="AD60" s="529"/>
      <c r="AE60" s="529"/>
    </row>
    <row r="61" spans="3:31" s="20" customFormat="1" ht="15" customHeight="1">
      <c r="C61" s="1521" t="str">
        <f>IF(Indice_index!$Z$1=1,"Fonte: Direção-Geral do Orçamento","Source: Budget General Directorate")</f>
        <v>Fonte: Direção-Geral do Orçamento</v>
      </c>
      <c r="D61" s="666"/>
      <c r="E61" s="666"/>
      <c r="F61" s="666"/>
      <c r="G61" s="666"/>
      <c r="H61" s="666"/>
      <c r="I61" s="666"/>
      <c r="J61" s="666"/>
      <c r="K61" s="666"/>
      <c r="L61" s="666"/>
      <c r="M61" s="666"/>
      <c r="N61" s="666"/>
      <c r="O61" s="666"/>
      <c r="P61" s="666"/>
      <c r="Q61" s="666"/>
      <c r="R61" s="666"/>
      <c r="S61" s="666"/>
      <c r="W61" s="543"/>
      <c r="X61" s="544"/>
      <c r="Y61" s="544"/>
      <c r="Z61" s="544"/>
      <c r="AA61" s="544"/>
      <c r="AB61" s="544"/>
      <c r="AC61" s="544"/>
      <c r="AD61" s="544"/>
      <c r="AE61" s="544"/>
    </row>
    <row r="62" spans="3:31" s="20" customFormat="1" ht="15" customHeight="1">
      <c r="C62" s="1521"/>
      <c r="D62" s="666"/>
      <c r="E62" s="666"/>
      <c r="F62" s="666"/>
      <c r="G62" s="666"/>
      <c r="H62" s="666"/>
      <c r="I62" s="666"/>
      <c r="J62" s="666"/>
      <c r="K62" s="666"/>
      <c r="L62" s="666"/>
      <c r="M62" s="666"/>
      <c r="N62" s="666"/>
      <c r="O62" s="666"/>
      <c r="P62" s="666"/>
      <c r="Q62" s="666"/>
      <c r="R62" s="666"/>
      <c r="S62" s="666"/>
      <c r="W62" s="543"/>
      <c r="X62" s="544"/>
      <c r="Y62" s="544"/>
      <c r="Z62" s="544"/>
      <c r="AA62" s="544"/>
      <c r="AB62" s="544"/>
      <c r="AC62" s="544"/>
      <c r="AD62" s="544"/>
      <c r="AE62" s="544"/>
    </row>
    <row r="63" spans="3:31" s="20" customFormat="1" ht="15" customHeight="1">
      <c r="C63" s="1521"/>
      <c r="D63" s="666"/>
      <c r="E63" s="666"/>
      <c r="F63" s="666"/>
      <c r="G63" s="666"/>
      <c r="H63" s="666"/>
      <c r="I63" s="666"/>
      <c r="J63" s="666"/>
      <c r="K63" s="666"/>
      <c r="L63" s="666"/>
      <c r="M63" s="666"/>
      <c r="N63" s="666"/>
      <c r="O63" s="666"/>
      <c r="P63" s="666"/>
      <c r="Q63" s="666"/>
      <c r="R63" s="666"/>
      <c r="S63" s="666"/>
      <c r="W63" s="543"/>
      <c r="X63" s="544"/>
      <c r="Y63" s="544"/>
      <c r="Z63" s="544"/>
      <c r="AA63" s="544"/>
      <c r="AB63" s="544"/>
      <c r="AC63" s="544"/>
      <c r="AD63" s="544"/>
      <c r="AE63" s="544"/>
    </row>
    <row r="64" spans="3:31" s="545" customFormat="1" ht="15" customHeight="1">
      <c r="C64" s="690" t="str">
        <f>+'5 - Conta AC + SS'!C5</f>
        <v>Período: janeiro a dezembro</v>
      </c>
      <c r="D64" s="1522"/>
      <c r="E64" s="1522"/>
      <c r="F64" s="1522"/>
      <c r="G64" s="1522"/>
      <c r="H64" s="1522"/>
      <c r="I64" s="1522"/>
      <c r="J64" s="1522"/>
      <c r="K64" s="1522"/>
      <c r="L64" s="1522"/>
      <c r="M64" s="1522"/>
      <c r="N64" s="1522"/>
      <c r="O64" s="1522"/>
      <c r="P64" s="1522"/>
      <c r="Q64" s="1522"/>
      <c r="R64" s="666"/>
      <c r="S64" s="666"/>
      <c r="W64" s="546"/>
      <c r="X64" s="547"/>
      <c r="Y64" s="547"/>
      <c r="Z64" s="547"/>
      <c r="AA64" s="547"/>
      <c r="AB64" s="547"/>
      <c r="AC64" s="547"/>
      <c r="AD64" s="547"/>
      <c r="AE64" s="547"/>
    </row>
    <row r="65" spans="3:32" ht="20.45" customHeight="1">
      <c r="C65" s="1523"/>
      <c r="D65" s="1523"/>
      <c r="E65" s="1523"/>
      <c r="F65" s="1523"/>
      <c r="G65" s="1675" t="str">
        <f>IF(Indice_index!$Z$1=1,"Variação Homóloga Absoluta","YOY Variation")</f>
        <v>Variação Homóloga Absoluta</v>
      </c>
      <c r="H65" s="1675"/>
      <c r="I65" s="1675"/>
      <c r="J65" s="1675"/>
      <c r="K65" s="1675"/>
      <c r="L65" s="1524"/>
      <c r="M65" s="1675" t="str">
        <f>IF(Indice_index!$Z$1=1,"Variação Homóloga Relativa (%)","Relative YOY Variation")</f>
        <v>Variação Homóloga Relativa (%)</v>
      </c>
      <c r="N65" s="1675"/>
      <c r="O65" s="1675"/>
      <c r="P65" s="1675"/>
      <c r="Q65" s="1675"/>
      <c r="R65" s="666"/>
      <c r="S65" s="666"/>
      <c r="U65" s="528"/>
      <c r="V65" s="529"/>
      <c r="W65" s="529"/>
      <c r="X65" s="529"/>
      <c r="Y65" s="529"/>
      <c r="Z65" s="529"/>
      <c r="AA65" s="529"/>
      <c r="AB65" s="529"/>
      <c r="AC65" s="529"/>
      <c r="AD65" s="17"/>
      <c r="AE65" s="17"/>
    </row>
    <row r="66" spans="3:32" ht="36" customHeight="1">
      <c r="C66" s="1525"/>
      <c r="D66" s="1525"/>
      <c r="E66" s="1525"/>
      <c r="F66" s="1525"/>
      <c r="G66" s="1526" t="str">
        <f>IF(Indice_index!$Z$1=1,"Estado","State")</f>
        <v>Estado</v>
      </c>
      <c r="H66" s="1526" t="str">
        <f>IF(Indice_index!$Z$1=1,"Serviços e Fundos Autónomos","Autonomous Funds and Services")</f>
        <v>Serviços e Fundos Autónomos</v>
      </c>
      <c r="I66" s="1526" t="str">
        <f>IF(Indice_index!$Z$1=1,"Adm. Local e Regional","Local and Regional Government")</f>
        <v>Adm. Local e Regional</v>
      </c>
      <c r="J66" s="1526" t="str">
        <f>IF(Indice_index!$Z$1=1,"Segurança Social","Social Security")</f>
        <v>Segurança Social</v>
      </c>
      <c r="K66" s="1526" t="str">
        <f>IF(Indice_index!$Z$1=1,"Adm. Públicas","General Government")</f>
        <v>Adm. Públicas</v>
      </c>
      <c r="L66" s="1527"/>
      <c r="M66" s="1526" t="str">
        <f>IF(Indice_index!$Z$1=1,"Estado","State")</f>
        <v>Estado</v>
      </c>
      <c r="N66" s="1526" t="str">
        <f>IF(Indice_index!$Z$1=1,"Serviços e Fundos Autónomos","Autonomous Funds and Services")</f>
        <v>Serviços e Fundos Autónomos</v>
      </c>
      <c r="O66" s="1526" t="str">
        <f>IF(Indice_index!$Z$1=1,"Adm. Local e Regional","Local and Regional Government")</f>
        <v>Adm. Local e Regional</v>
      </c>
      <c r="P66" s="1526" t="str">
        <f>IF(Indice_index!$Z$1=1,"Segurança Social","Social Security")</f>
        <v>Segurança Social</v>
      </c>
      <c r="Q66" s="1526" t="str">
        <f>IF(Indice_index!$Z$1=1,"Adm. Públicas","General Government")</f>
        <v>Adm. Públicas</v>
      </c>
      <c r="R66" s="666"/>
      <c r="S66" s="666"/>
      <c r="U66" s="528"/>
      <c r="V66" s="529"/>
      <c r="W66" s="529"/>
      <c r="X66" s="529"/>
      <c r="Y66" s="529"/>
      <c r="Z66" s="529"/>
      <c r="AA66" s="529"/>
      <c r="AB66" s="529"/>
      <c r="AC66" s="529"/>
      <c r="AD66" s="17"/>
      <c r="AE66" s="17"/>
    </row>
    <row r="67" spans="3:32" s="526" customFormat="1" ht="15" customHeight="1">
      <c r="C67" s="318" t="str">
        <f>IF(Indice_index!$Z$1=1,"Receita corrente","Current revenue")</f>
        <v>Receita corrente</v>
      </c>
      <c r="D67" s="318"/>
      <c r="E67" s="318"/>
      <c r="F67" s="318"/>
      <c r="G67" s="1528">
        <f t="shared" ref="G67:G83" si="49">M9-G9</f>
        <v>6521.0475243099936</v>
      </c>
      <c r="H67" s="1528">
        <f t="shared" ref="H67:H83" si="50">N9-H9</f>
        <v>3559.8464261899499</v>
      </c>
      <c r="I67" s="1528">
        <f t="shared" ref="I67:I83" si="51">O9-I9</f>
        <v>1330.7606577106053</v>
      </c>
      <c r="J67" s="1528">
        <f t="shared" ref="J67:J83" si="52">P9-J9</f>
        <v>1955.97796389</v>
      </c>
      <c r="K67" s="1528">
        <f t="shared" ref="K67:K83" si="53">Q9-K9</f>
        <v>9971.2710994805529</v>
      </c>
      <c r="L67" s="1528"/>
      <c r="M67" s="1529">
        <f t="shared" ref="M67:M75" si="54">IF(IFERROR((M9-G9)/G9*100,"")&gt;500,"-",IFERROR((M9-G9)/G9*100,""))</f>
        <v>13.044870028476979</v>
      </c>
      <c r="N67" s="1529">
        <f t="shared" ref="N67:N75" si="55">IF(IFERROR((N9-H9)/H9*100,"")&gt;500,"-",IFERROR((N9-H9)/H9*100,""))</f>
        <v>10.786460060115665</v>
      </c>
      <c r="O67" s="1529">
        <f t="shared" ref="O67:O75" si="56">IF(IFERROR((O9-I9)/I9*100,"")&gt;500,"-",IFERROR((O9-I9)/I9*100,""))</f>
        <v>11.698969036777488</v>
      </c>
      <c r="P67" s="1529">
        <f t="shared" ref="P67:P75" si="57">IF(IFERROR((P9-J9)/J9*100,"")&gt;500,"-",IFERROR((P9-J9)/J9*100,""))</f>
        <v>5.827324474836403</v>
      </c>
      <c r="Q67" s="1529">
        <f t="shared" ref="Q67:Q75" si="58">IF(IFERROR((Q9-K9)/K9*100,"")&gt;500,"-",IFERROR((Q9-K9)/K9*100,""))</f>
        <v>11.102636633797694</v>
      </c>
      <c r="R67" s="666"/>
      <c r="S67" s="666"/>
      <c r="T67" s="548"/>
      <c r="U67" s="532"/>
      <c r="V67" s="533"/>
      <c r="W67" s="533"/>
      <c r="X67" s="533"/>
      <c r="Y67" s="533"/>
      <c r="Z67" s="533"/>
      <c r="AA67" s="533"/>
      <c r="AB67" s="533"/>
      <c r="AC67" s="533"/>
      <c r="AD67" s="548"/>
      <c r="AE67" s="548"/>
      <c r="AF67" s="548"/>
    </row>
    <row r="68" spans="3:32" ht="15" customHeight="1">
      <c r="C68" s="819" t="str">
        <f>IF(Indice_index!$Z$1=1,"Receita Fiscal","Tax")</f>
        <v>Receita Fiscal</v>
      </c>
      <c r="D68" s="666"/>
      <c r="E68" s="819"/>
      <c r="F68" s="666"/>
      <c r="G68" s="1505">
        <f t="shared" si="49"/>
        <v>6433.4673535899929</v>
      </c>
      <c r="H68" s="1505">
        <f t="shared" si="50"/>
        <v>51.606000619999918</v>
      </c>
      <c r="I68" s="1505">
        <f t="shared" si="51"/>
        <v>604.65291379468272</v>
      </c>
      <c r="J68" s="1505">
        <f t="shared" si="52"/>
        <v>17.949974670000017</v>
      </c>
      <c r="K68" s="1505">
        <f t="shared" si="53"/>
        <v>7107.6762426746718</v>
      </c>
      <c r="L68" s="1505"/>
      <c r="M68" s="1505">
        <f t="shared" si="54"/>
        <v>14.111196876402964</v>
      </c>
      <c r="N68" s="1505">
        <f t="shared" si="55"/>
        <v>9.0903487352731407</v>
      </c>
      <c r="O68" s="1505">
        <f t="shared" si="56"/>
        <v>11.940902325420543</v>
      </c>
      <c r="P68" s="1505">
        <f t="shared" si="57"/>
        <v>8.4569592752498721</v>
      </c>
      <c r="Q68" s="1505">
        <f t="shared" si="58"/>
        <v>13.818784370723566</v>
      </c>
      <c r="R68" s="666"/>
      <c r="S68" s="666"/>
      <c r="T68" s="549"/>
      <c r="U68" s="536"/>
      <c r="V68" s="529"/>
      <c r="W68" s="529"/>
      <c r="X68" s="529"/>
      <c r="Y68" s="529"/>
      <c r="Z68" s="529"/>
      <c r="AA68" s="529"/>
      <c r="AB68" s="529"/>
      <c r="AC68" s="529"/>
      <c r="AD68" s="549"/>
      <c r="AE68" s="549"/>
      <c r="AF68" s="549"/>
    </row>
    <row r="69" spans="3:32" ht="15" customHeight="1">
      <c r="C69" s="773" t="str">
        <f>IF(Indice_index!$Z$1=1,"Impostos diretos","Direct taxes")</f>
        <v>Impostos diretos</v>
      </c>
      <c r="D69" s="666"/>
      <c r="E69" s="773"/>
      <c r="F69" s="666"/>
      <c r="G69" s="1505">
        <f t="shared" si="49"/>
        <v>3420.3317818699979</v>
      </c>
      <c r="H69" s="1505">
        <f t="shared" si="50"/>
        <v>-1.5595100000000001E-3</v>
      </c>
      <c r="I69" s="1505">
        <f t="shared" si="51"/>
        <v>535.66966245768526</v>
      </c>
      <c r="J69" s="1505">
        <f t="shared" si="52"/>
        <v>0</v>
      </c>
      <c r="K69" s="1505">
        <f t="shared" si="53"/>
        <v>3955.9998848176801</v>
      </c>
      <c r="L69" s="1505"/>
      <c r="M69" s="1505">
        <f t="shared" si="54"/>
        <v>17.138555652957869</v>
      </c>
      <c r="N69" s="1505">
        <f t="shared" si="55"/>
        <v>-100</v>
      </c>
      <c r="O69" s="1505">
        <f t="shared" si="56"/>
        <v>13.519615558750717</v>
      </c>
      <c r="P69" s="1505" t="str">
        <f t="shared" si="57"/>
        <v>-</v>
      </c>
      <c r="Q69" s="1505">
        <f t="shared" si="58"/>
        <v>16.539075785490034</v>
      </c>
      <c r="R69" s="666"/>
      <c r="S69" s="666"/>
      <c r="T69" s="549"/>
      <c r="U69" s="536"/>
      <c r="V69" s="529"/>
      <c r="W69" s="529"/>
      <c r="X69" s="529"/>
      <c r="Y69" s="529"/>
      <c r="Z69" s="529"/>
      <c r="AA69" s="529"/>
      <c r="AB69" s="529"/>
      <c r="AC69" s="529"/>
      <c r="AD69" s="549"/>
      <c r="AE69" s="549"/>
      <c r="AF69" s="549"/>
    </row>
    <row r="70" spans="3:32" ht="15" customHeight="1">
      <c r="C70" s="773" t="str">
        <f>IF(Indice_index!$Z$1=1,"Impostos indiretos","Indirect taxes")</f>
        <v>Impostos indiretos</v>
      </c>
      <c r="D70" s="666"/>
      <c r="E70" s="773"/>
      <c r="F70" s="666"/>
      <c r="G70" s="1505">
        <f t="shared" si="49"/>
        <v>3013.1355717199949</v>
      </c>
      <c r="H70" s="1505">
        <f t="shared" si="50"/>
        <v>51.607560129999911</v>
      </c>
      <c r="I70" s="1505">
        <f t="shared" si="51"/>
        <v>68.983251336997</v>
      </c>
      <c r="J70" s="1505">
        <f t="shared" si="52"/>
        <v>17.949974670000017</v>
      </c>
      <c r="K70" s="1505">
        <f t="shared" si="53"/>
        <v>3151.6763578569917</v>
      </c>
      <c r="L70" s="1505"/>
      <c r="M70" s="1505">
        <f t="shared" si="54"/>
        <v>11.754320671850548</v>
      </c>
      <c r="N70" s="1505">
        <f t="shared" si="55"/>
        <v>9.0906484140781529</v>
      </c>
      <c r="O70" s="1505">
        <f t="shared" si="56"/>
        <v>6.2624048396873713</v>
      </c>
      <c r="P70" s="1505">
        <f t="shared" si="57"/>
        <v>8.4569592752498721</v>
      </c>
      <c r="Q70" s="1505">
        <f t="shared" si="58"/>
        <v>11.454070034682466</v>
      </c>
      <c r="R70" s="666"/>
      <c r="S70" s="666"/>
      <c r="T70" s="549"/>
      <c r="U70" s="536"/>
      <c r="V70" s="529"/>
      <c r="W70" s="529"/>
      <c r="X70" s="529"/>
      <c r="Y70" s="529"/>
      <c r="Z70" s="529"/>
      <c r="AA70" s="529"/>
      <c r="AB70" s="529"/>
      <c r="AC70" s="529"/>
      <c r="AD70" s="549"/>
      <c r="AE70" s="549"/>
      <c r="AF70" s="549"/>
    </row>
    <row r="71" spans="3:32" ht="15" customHeight="1">
      <c r="C71" s="771" t="str">
        <f>IF(Indice_index!$Z$1=1,"Contribuições de Segurança Social","Social security contributions")</f>
        <v>Contribuições de Segurança Social</v>
      </c>
      <c r="D71" s="666"/>
      <c r="E71" s="771"/>
      <c r="F71" s="666"/>
      <c r="G71" s="1505">
        <f t="shared" si="49"/>
        <v>5.7469677799999914</v>
      </c>
      <c r="H71" s="1505">
        <f t="shared" si="50"/>
        <v>-110.42473251000001</v>
      </c>
      <c r="I71" s="1505">
        <f t="shared" si="51"/>
        <v>0</v>
      </c>
      <c r="J71" s="1505">
        <f t="shared" si="52"/>
        <v>2356.9203618099964</v>
      </c>
      <c r="K71" s="1505">
        <f t="shared" si="53"/>
        <v>2252.2425970799959</v>
      </c>
      <c r="L71" s="1505"/>
      <c r="M71" s="1505">
        <f t="shared" si="54"/>
        <v>8.6318638671453822</v>
      </c>
      <c r="N71" s="1505">
        <f t="shared" si="55"/>
        <v>-2.6384310262333002</v>
      </c>
      <c r="O71" s="1505" t="str">
        <f t="shared" si="56"/>
        <v>-</v>
      </c>
      <c r="P71" s="1505">
        <f t="shared" si="57"/>
        <v>11.811946382779936</v>
      </c>
      <c r="Q71" s="1505">
        <f t="shared" si="58"/>
        <v>9.3046648169224877</v>
      </c>
      <c r="R71" s="666"/>
      <c r="S71" s="666"/>
      <c r="T71" s="549"/>
      <c r="U71" s="536"/>
      <c r="V71" s="529"/>
      <c r="W71" s="529"/>
      <c r="X71" s="529"/>
      <c r="Y71" s="529"/>
      <c r="Z71" s="529"/>
      <c r="AA71" s="529"/>
      <c r="AB71" s="529"/>
      <c r="AC71" s="529"/>
      <c r="AD71" s="549"/>
      <c r="AE71" s="549"/>
      <c r="AF71" s="549"/>
    </row>
    <row r="72" spans="3:32" ht="15" customHeight="1">
      <c r="C72" s="771" t="str">
        <f>IF(Indice_index!$Z$1=1,"Transferências Correntes","Current transfers")</f>
        <v>Transferências Correntes</v>
      </c>
      <c r="D72" s="666"/>
      <c r="E72" s="771"/>
      <c r="F72" s="666"/>
      <c r="G72" s="1505">
        <f t="shared" si="49"/>
        <v>-234.89230128999998</v>
      </c>
      <c r="H72" s="1505">
        <f t="shared" si="50"/>
        <v>3109.0639833699788</v>
      </c>
      <c r="I72" s="1505">
        <f t="shared" si="51"/>
        <v>542.47512434282999</v>
      </c>
      <c r="J72" s="1505">
        <f t="shared" si="52"/>
        <v>-305.48813888000041</v>
      </c>
      <c r="K72" s="1505">
        <f t="shared" si="53"/>
        <v>-375.13337433714833</v>
      </c>
      <c r="L72" s="1505"/>
      <c r="M72" s="1505">
        <f t="shared" si="54"/>
        <v>-19.342676105549717</v>
      </c>
      <c r="N72" s="1505">
        <f t="shared" si="55"/>
        <v>13.767414151548527</v>
      </c>
      <c r="O72" s="1505">
        <f t="shared" si="56"/>
        <v>12.187314457978283</v>
      </c>
      <c r="P72" s="1505">
        <f t="shared" si="57"/>
        <v>-2.483431543981423</v>
      </c>
      <c r="Q72" s="1505">
        <f t="shared" si="58"/>
        <v>-12.312626362085965</v>
      </c>
      <c r="R72" s="666"/>
      <c r="S72" s="666"/>
      <c r="T72" s="549"/>
      <c r="U72" s="536"/>
      <c r="V72" s="529"/>
      <c r="W72" s="529"/>
      <c r="X72" s="529"/>
      <c r="Y72" s="529"/>
      <c r="Z72" s="529"/>
      <c r="AA72" s="529"/>
      <c r="AB72" s="529"/>
      <c r="AC72" s="529"/>
      <c r="AD72" s="549"/>
      <c r="AE72" s="549"/>
      <c r="AF72" s="549"/>
    </row>
    <row r="73" spans="3:32" ht="15" customHeight="1">
      <c r="C73" s="1504" t="str">
        <f>IF(Indice_index!$Z$1=1,"Administrações Públicas","General Government subsectors")</f>
        <v>Administrações Públicas</v>
      </c>
      <c r="D73" s="666"/>
      <c r="E73" s="771"/>
      <c r="F73" s="666"/>
      <c r="G73" s="1505">
        <f t="shared" si="49"/>
        <v>7.2489195699998845</v>
      </c>
      <c r="H73" s="1505">
        <f t="shared" si="50"/>
        <v>2969.3190280399831</v>
      </c>
      <c r="I73" s="1505">
        <f t="shared" si="51"/>
        <v>480.66975710997758</v>
      </c>
      <c r="J73" s="1505">
        <f t="shared" si="52"/>
        <v>29.054337159999704</v>
      </c>
      <c r="K73" s="1505">
        <f t="shared" si="53"/>
        <v>0</v>
      </c>
      <c r="L73" s="1505"/>
      <c r="M73" s="1505">
        <f t="shared" si="54"/>
        <v>0.97405421515460877</v>
      </c>
      <c r="N73" s="1505">
        <f t="shared" si="55"/>
        <v>13.720266823750832</v>
      </c>
      <c r="O73" s="1505">
        <f t="shared" si="56"/>
        <v>11.322829696601147</v>
      </c>
      <c r="P73" s="1505">
        <f t="shared" si="57"/>
        <v>0.26725430248653292</v>
      </c>
      <c r="Q73" s="1505" t="str">
        <f t="shared" si="58"/>
        <v>-</v>
      </c>
      <c r="R73" s="666"/>
      <c r="S73" s="666"/>
      <c r="T73" s="549"/>
      <c r="U73" s="536"/>
      <c r="V73" s="529"/>
      <c r="W73" s="529"/>
      <c r="X73" s="529"/>
      <c r="Y73" s="529"/>
      <c r="Z73" s="529"/>
      <c r="AA73" s="529"/>
      <c r="AB73" s="529"/>
      <c r="AC73" s="529"/>
      <c r="AD73" s="549"/>
      <c r="AE73" s="549"/>
      <c r="AF73" s="549"/>
    </row>
    <row r="74" spans="3:32" ht="15" customHeight="1">
      <c r="C74" s="1504" t="str">
        <f>IF(Indice_index!$Z$1=1,"Outras","Others")</f>
        <v>Outras</v>
      </c>
      <c r="D74" s="666"/>
      <c r="E74" s="771"/>
      <c r="F74" s="666"/>
      <c r="G74" s="1505">
        <f t="shared" si="49"/>
        <v>-242.14122085999983</v>
      </c>
      <c r="H74" s="1505">
        <f t="shared" si="50"/>
        <v>139.74495532999856</v>
      </c>
      <c r="I74" s="1505">
        <f t="shared" si="51"/>
        <v>61.805367232852205</v>
      </c>
      <c r="J74" s="1505">
        <f t="shared" si="52"/>
        <v>-334.54247603999966</v>
      </c>
      <c r="K74" s="1505">
        <f t="shared" si="53"/>
        <v>-375.13337433714833</v>
      </c>
      <c r="L74" s="1505"/>
      <c r="M74" s="1505">
        <f t="shared" si="54"/>
        <v>-51.500506325810811</v>
      </c>
      <c r="N74" s="1505">
        <f t="shared" si="55"/>
        <v>14.851828279228668</v>
      </c>
      <c r="O74" s="1505">
        <f t="shared" si="56"/>
        <v>30.001497089278118</v>
      </c>
      <c r="P74" s="1505">
        <f t="shared" si="57"/>
        <v>-23.400641443770134</v>
      </c>
      <c r="Q74" s="1505">
        <f t="shared" si="58"/>
        <v>-12.312626362085965</v>
      </c>
      <c r="R74" s="666"/>
      <c r="S74" s="666"/>
      <c r="T74" s="549"/>
      <c r="U74" s="536"/>
      <c r="V74" s="529"/>
      <c r="W74" s="529"/>
      <c r="X74" s="529"/>
      <c r="Y74" s="529"/>
      <c r="Z74" s="529"/>
      <c r="AA74" s="529"/>
      <c r="AB74" s="529"/>
      <c r="AC74" s="529"/>
      <c r="AD74" s="549"/>
      <c r="AE74" s="549"/>
      <c r="AF74" s="549"/>
    </row>
    <row r="75" spans="3:32" ht="15" customHeight="1">
      <c r="C75" s="771" t="str">
        <f>IF(Indice_index!$Z$1=1,"Outras receitas correntes","Other current revenue")</f>
        <v>Outras receitas correntes</v>
      </c>
      <c r="D75" s="666"/>
      <c r="E75" s="771"/>
      <c r="F75" s="666"/>
      <c r="G75" s="1505">
        <f t="shared" si="49"/>
        <v>316.72518559999935</v>
      </c>
      <c r="H75" s="1505">
        <f t="shared" si="50"/>
        <v>549.53123877996859</v>
      </c>
      <c r="I75" s="1505">
        <f t="shared" si="51"/>
        <v>183.63261957309192</v>
      </c>
      <c r="J75" s="1505">
        <f t="shared" si="52"/>
        <v>-113.40423370999997</v>
      </c>
      <c r="K75" s="1505">
        <f t="shared" si="53"/>
        <v>783.35859347305632</v>
      </c>
      <c r="L75" s="1505"/>
      <c r="M75" s="1505">
        <f t="shared" si="54"/>
        <v>10.160620259064901</v>
      </c>
      <c r="N75" s="1505">
        <f t="shared" si="55"/>
        <v>9.7655549023916066</v>
      </c>
      <c r="O75" s="1505">
        <f t="shared" si="56"/>
        <v>9.8718337960498364</v>
      </c>
      <c r="P75" s="1505">
        <f t="shared" si="57"/>
        <v>-10.322368946751119</v>
      </c>
      <c r="Q75" s="1505">
        <f t="shared" si="58"/>
        <v>7.0682191603210223</v>
      </c>
      <c r="R75" s="666"/>
      <c r="S75" s="666"/>
      <c r="T75" s="549"/>
      <c r="U75" s="536"/>
      <c r="V75" s="529"/>
      <c r="W75" s="529"/>
      <c r="X75" s="529"/>
      <c r="Y75" s="529"/>
      <c r="Z75" s="529"/>
      <c r="AA75" s="529"/>
      <c r="AB75" s="529"/>
      <c r="AC75" s="529"/>
      <c r="AD75" s="549"/>
      <c r="AE75" s="549"/>
      <c r="AF75" s="549"/>
    </row>
    <row r="76" spans="3:32" ht="15" customHeight="1">
      <c r="C76" s="819" t="str">
        <f>IF(Indice_index!$Z$1=1,"Diferenças de consolidação","Consolidation differences")</f>
        <v>Diferenças de consolidação</v>
      </c>
      <c r="D76" s="666"/>
      <c r="E76" s="1530"/>
      <c r="F76" s="666"/>
      <c r="G76" s="1505">
        <f t="shared" si="49"/>
        <v>3.1863000000000117E-4</v>
      </c>
      <c r="H76" s="1505">
        <f t="shared" si="50"/>
        <v>-39.930064070003525</v>
      </c>
      <c r="I76" s="1505">
        <f t="shared" si="51"/>
        <v>0</v>
      </c>
      <c r="J76" s="1505">
        <f t="shared" si="52"/>
        <v>0</v>
      </c>
      <c r="K76" s="1505">
        <f t="shared" si="53"/>
        <v>203.12704058996715</v>
      </c>
      <c r="L76" s="1505"/>
      <c r="M76" s="1531" t="s">
        <v>2</v>
      </c>
      <c r="N76" s="1531" t="s">
        <v>2</v>
      </c>
      <c r="O76" s="1531" t="s">
        <v>2</v>
      </c>
      <c r="P76" s="1531" t="s">
        <v>2</v>
      </c>
      <c r="Q76" s="1531" t="s">
        <v>2</v>
      </c>
      <c r="R76" s="666"/>
      <c r="S76" s="666"/>
      <c r="T76" s="549"/>
      <c r="U76" s="536"/>
      <c r="V76" s="529"/>
      <c r="W76" s="529"/>
      <c r="X76" s="529"/>
      <c r="Y76" s="529"/>
      <c r="Z76" s="529"/>
      <c r="AA76" s="529"/>
      <c r="AB76" s="529"/>
      <c r="AC76" s="529"/>
      <c r="AD76" s="549"/>
      <c r="AE76" s="549"/>
      <c r="AF76" s="549"/>
    </row>
    <row r="77" spans="3:32" s="526" customFormat="1" ht="15" customHeight="1">
      <c r="C77" s="318" t="str">
        <f>IF(Indice_index!$Z$1=1,"Receita de capital","Capital revenue")</f>
        <v>Receita de capital</v>
      </c>
      <c r="D77" s="318"/>
      <c r="E77" s="318"/>
      <c r="F77" s="318"/>
      <c r="G77" s="1528">
        <f t="shared" si="49"/>
        <v>284.10936790000005</v>
      </c>
      <c r="H77" s="1528">
        <f t="shared" si="50"/>
        <v>-219.88516893000087</v>
      </c>
      <c r="I77" s="1528">
        <f t="shared" si="51"/>
        <v>-284.35182375831687</v>
      </c>
      <c r="J77" s="1528">
        <f t="shared" si="52"/>
        <v>0.26757796</v>
      </c>
      <c r="K77" s="1528">
        <f t="shared" si="53"/>
        <v>160.58691192168362</v>
      </c>
      <c r="L77" s="1528"/>
      <c r="M77" s="1528">
        <f t="shared" ref="M77:Q82" si="59">IF(IFERROR((M19-G19)/G19*100,"")&gt;500,"-",IFERROR((M19-G19)/G19*100,""))</f>
        <v>335.16231789207922</v>
      </c>
      <c r="N77" s="1528">
        <f t="shared" si="59"/>
        <v>-7.2463764879972983</v>
      </c>
      <c r="O77" s="1528">
        <f t="shared" si="59"/>
        <v>-17.996477066550671</v>
      </c>
      <c r="P77" s="1528">
        <f t="shared" si="59"/>
        <v>29.229019260833994</v>
      </c>
      <c r="Q77" s="1528">
        <f t="shared" si="59"/>
        <v>7.3895355557498501</v>
      </c>
      <c r="R77" s="318"/>
      <c r="S77" s="666"/>
      <c r="T77" s="548"/>
      <c r="U77" s="532"/>
      <c r="V77" s="533"/>
      <c r="W77" s="533"/>
      <c r="X77" s="533"/>
      <c r="Y77" s="533"/>
      <c r="Z77" s="533"/>
      <c r="AA77" s="533"/>
      <c r="AB77" s="533"/>
      <c r="AC77" s="533"/>
      <c r="AD77" s="548"/>
      <c r="AE77" s="548"/>
      <c r="AF77" s="548"/>
    </row>
    <row r="78" spans="3:32" s="526" customFormat="1" ht="15" customHeight="1">
      <c r="C78" s="771" t="str">
        <f>IF(Indice_index!$Z$1=1,"Venda de bens de investimento","Sale of investment goods")</f>
        <v>Venda de bens de investimento</v>
      </c>
      <c r="D78" s="318"/>
      <c r="E78" s="318"/>
      <c r="F78" s="318"/>
      <c r="G78" s="1505">
        <f t="shared" si="49"/>
        <v>-1.5546673899999917</v>
      </c>
      <c r="H78" s="1505">
        <f t="shared" si="50"/>
        <v>-12.357350269999984</v>
      </c>
      <c r="I78" s="1505">
        <f t="shared" si="51"/>
        <v>-25.768335468897291</v>
      </c>
      <c r="J78" s="1505">
        <f t="shared" si="52"/>
        <v>0.20807977999999994</v>
      </c>
      <c r="K78" s="1505">
        <f t="shared" si="53"/>
        <v>-39.472273348897289</v>
      </c>
      <c r="L78" s="1528"/>
      <c r="M78" s="1505">
        <f t="shared" si="59"/>
        <v>-4.2133257793423651</v>
      </c>
      <c r="N78" s="1505">
        <f t="shared" si="59"/>
        <v>-10.512806962234539</v>
      </c>
      <c r="O78" s="1505">
        <f t="shared" si="59"/>
        <v>-33.764872221860394</v>
      </c>
      <c r="P78" s="1505">
        <f t="shared" si="59"/>
        <v>33.672423257888376</v>
      </c>
      <c r="Q78" s="1505">
        <f t="shared" si="59"/>
        <v>-17.059542043347687</v>
      </c>
      <c r="R78" s="318"/>
      <c r="S78" s="666"/>
      <c r="T78" s="548"/>
      <c r="U78" s="532"/>
      <c r="V78" s="533"/>
      <c r="W78" s="533"/>
      <c r="X78" s="533"/>
      <c r="Y78" s="533"/>
      <c r="Z78" s="533"/>
      <c r="AA78" s="533"/>
      <c r="AB78" s="533"/>
      <c r="AC78" s="533"/>
      <c r="AD78" s="548"/>
      <c r="AE78" s="548"/>
      <c r="AF78" s="548"/>
    </row>
    <row r="79" spans="3:32" s="526" customFormat="1" ht="15" customHeight="1">
      <c r="C79" s="819" t="str">
        <f>IF(Indice_index!$Z$1=1,"Transferências de Capital","Capital transfers")</f>
        <v>Transferências de Capital</v>
      </c>
      <c r="D79" s="318"/>
      <c r="E79" s="318"/>
      <c r="F79" s="318"/>
      <c r="G79" s="1505">
        <f t="shared" si="49"/>
        <v>218.50478094000002</v>
      </c>
      <c r="H79" s="1505">
        <f t="shared" si="50"/>
        <v>-210.35099079000065</v>
      </c>
      <c r="I79" s="1505">
        <f t="shared" si="51"/>
        <v>-256.28031295723235</v>
      </c>
      <c r="J79" s="1505">
        <f t="shared" si="52"/>
        <v>5.2499999999999991E-2</v>
      </c>
      <c r="K79" s="1505">
        <f t="shared" si="53"/>
        <v>139.89388825276774</v>
      </c>
      <c r="L79" s="1528"/>
      <c r="M79" s="1505">
        <f t="shared" si="59"/>
        <v>478.27655810346499</v>
      </c>
      <c r="N79" s="1505">
        <f t="shared" si="59"/>
        <v>-7.2745524186634301</v>
      </c>
      <c r="O79" s="1505">
        <f t="shared" si="59"/>
        <v>-17.264419801494128</v>
      </c>
      <c r="P79" s="1505">
        <f t="shared" si="59"/>
        <v>17.647058823529409</v>
      </c>
      <c r="Q79" s="1505">
        <f t="shared" si="59"/>
        <v>7.4114740291264525</v>
      </c>
      <c r="R79" s="318"/>
      <c r="S79" s="666"/>
      <c r="T79" s="548"/>
      <c r="U79" s="532"/>
      <c r="V79" s="533"/>
      <c r="W79" s="533"/>
      <c r="X79" s="533"/>
      <c r="Y79" s="533"/>
      <c r="Z79" s="533"/>
      <c r="AA79" s="533"/>
      <c r="AB79" s="533"/>
      <c r="AC79" s="533"/>
      <c r="AD79" s="548"/>
      <c r="AE79" s="548"/>
      <c r="AF79" s="548"/>
    </row>
    <row r="80" spans="3:32" s="526" customFormat="1" ht="15" customHeight="1">
      <c r="C80" s="1504" t="str">
        <f>IF(Indice_index!$Z$1=1,"Administrações Públicas","General Government subsectors")</f>
        <v>Administrações Públicas</v>
      </c>
      <c r="D80" s="318"/>
      <c r="E80" s="318"/>
      <c r="F80" s="318"/>
      <c r="G80" s="1505">
        <f t="shared" si="49"/>
        <v>-3.1090207400000018</v>
      </c>
      <c r="H80" s="1505">
        <f t="shared" si="50"/>
        <v>-295.33732355000029</v>
      </c>
      <c r="I80" s="1505">
        <f t="shared" si="51"/>
        <v>-89.574066770000059</v>
      </c>
      <c r="J80" s="1505">
        <f t="shared" si="52"/>
        <v>5.2499999999999991E-2</v>
      </c>
      <c r="K80" s="1505">
        <f t="shared" si="53"/>
        <v>0</v>
      </c>
      <c r="L80" s="1528"/>
      <c r="M80" s="1505">
        <f t="shared" si="59"/>
        <v>-17.829089635735706</v>
      </c>
      <c r="N80" s="1505">
        <f t="shared" si="59"/>
        <v>-15.467628399194059</v>
      </c>
      <c r="O80" s="1505">
        <f t="shared" si="59"/>
        <v>-14.747872509405004</v>
      </c>
      <c r="P80" s="1505">
        <f t="shared" si="59"/>
        <v>17.647058823529409</v>
      </c>
      <c r="Q80" s="1505" t="str">
        <f t="shared" si="59"/>
        <v>-</v>
      </c>
      <c r="R80" s="318"/>
      <c r="S80" s="666"/>
      <c r="T80" s="548"/>
      <c r="U80" s="532"/>
      <c r="V80" s="533"/>
      <c r="W80" s="533"/>
      <c r="X80" s="533"/>
      <c r="Y80" s="533"/>
      <c r="Z80" s="533"/>
      <c r="AA80" s="533"/>
      <c r="AB80" s="533"/>
      <c r="AC80" s="533"/>
      <c r="AD80" s="548"/>
      <c r="AE80" s="548"/>
      <c r="AF80" s="548"/>
    </row>
    <row r="81" spans="2:32" s="526" customFormat="1" ht="15" customHeight="1">
      <c r="C81" s="1504" t="str">
        <f>IF(Indice_index!$Z$1=1,"Outras","Others")</f>
        <v>Outras</v>
      </c>
      <c r="D81" s="318"/>
      <c r="E81" s="318"/>
      <c r="F81" s="318"/>
      <c r="G81" s="1505">
        <f t="shared" si="49"/>
        <v>221.61380168000002</v>
      </c>
      <c r="H81" s="1505">
        <f t="shared" si="50"/>
        <v>84.986332759999982</v>
      </c>
      <c r="I81" s="1505">
        <f t="shared" si="51"/>
        <v>-166.70624618723241</v>
      </c>
      <c r="J81" s="1505">
        <f t="shared" si="52"/>
        <v>0</v>
      </c>
      <c r="K81" s="1505">
        <f t="shared" si="53"/>
        <v>139.89388825276774</v>
      </c>
      <c r="L81" s="1528"/>
      <c r="M81" s="1505" t="str">
        <f t="shared" si="59"/>
        <v>-</v>
      </c>
      <c r="N81" s="1505">
        <f t="shared" si="59"/>
        <v>8.6525568576784568</v>
      </c>
      <c r="O81" s="1505">
        <f t="shared" si="59"/>
        <v>-19.007119016484651</v>
      </c>
      <c r="P81" s="1505" t="str">
        <f t="shared" si="59"/>
        <v>-</v>
      </c>
      <c r="Q81" s="1505">
        <f t="shared" si="59"/>
        <v>7.4114740291264525</v>
      </c>
      <c r="R81" s="318"/>
      <c r="S81" s="666"/>
      <c r="T81" s="548"/>
      <c r="U81" s="532"/>
      <c r="V81" s="533"/>
      <c r="W81" s="533"/>
      <c r="X81" s="533"/>
      <c r="Y81" s="533"/>
      <c r="Z81" s="533"/>
      <c r="AA81" s="533"/>
      <c r="AB81" s="533"/>
      <c r="AC81" s="533"/>
      <c r="AD81" s="548"/>
      <c r="AE81" s="548"/>
      <c r="AF81" s="548"/>
    </row>
    <row r="82" spans="2:32" ht="15" customHeight="1">
      <c r="C82" s="771" t="str">
        <f>IF(Indice_index!$Z$1=1,"Outras receitas de capital","Other capital revenue")</f>
        <v>Outras receitas de capital</v>
      </c>
      <c r="D82" s="666"/>
      <c r="E82" s="1532"/>
      <c r="F82" s="666"/>
      <c r="G82" s="1505">
        <f t="shared" si="49"/>
        <v>67.839299319999981</v>
      </c>
      <c r="H82" s="1505">
        <f t="shared" si="50"/>
        <v>2.8231721300000068</v>
      </c>
      <c r="I82" s="1505">
        <f t="shared" si="51"/>
        <v>-2.3194785421869888</v>
      </c>
      <c r="J82" s="1505">
        <f t="shared" si="52"/>
        <v>6.9981800000000005E-3</v>
      </c>
      <c r="K82" s="1505">
        <f t="shared" si="53"/>
        <v>68.349991087812981</v>
      </c>
      <c r="L82" s="1528"/>
      <c r="M82" s="1505" t="str">
        <f t="shared" si="59"/>
        <v>-</v>
      </c>
      <c r="N82" s="1505">
        <f t="shared" si="59"/>
        <v>11.172325075674202</v>
      </c>
      <c r="O82" s="1505">
        <f t="shared" si="59"/>
        <v>-12.028917796382167</v>
      </c>
      <c r="P82" s="1505" t="str">
        <f t="shared" si="59"/>
        <v>-</v>
      </c>
      <c r="Q82" s="1505">
        <f t="shared" si="59"/>
        <v>148.41006690768586</v>
      </c>
      <c r="R82" s="666"/>
      <c r="S82" s="666"/>
      <c r="T82" s="549"/>
      <c r="U82" s="536"/>
      <c r="V82" s="529"/>
      <c r="W82" s="529"/>
      <c r="X82" s="529"/>
      <c r="Y82" s="529"/>
      <c r="Z82" s="529"/>
      <c r="AA82" s="529"/>
      <c r="AB82" s="529"/>
      <c r="AC82" s="529"/>
      <c r="AD82" s="549"/>
      <c r="AE82" s="549"/>
      <c r="AF82" s="549"/>
    </row>
    <row r="83" spans="2:32" ht="15" customHeight="1">
      <c r="B83" s="537"/>
      <c r="C83" s="819" t="str">
        <f>IF(Indice_index!$Z$1=1,"Diferenças de consolidação","Consolidation differences")</f>
        <v>Diferenças de consolidação</v>
      </c>
      <c r="D83" s="666"/>
      <c r="E83" s="666"/>
      <c r="F83" s="666"/>
      <c r="G83" s="1505">
        <f t="shared" si="49"/>
        <v>-0.68004496999999731</v>
      </c>
      <c r="H83" s="1505">
        <f t="shared" si="50"/>
        <v>0</v>
      </c>
      <c r="I83" s="1505">
        <f t="shared" si="51"/>
        <v>1.6303209999989576E-2</v>
      </c>
      <c r="J83" s="1505">
        <f t="shared" si="52"/>
        <v>0</v>
      </c>
      <c r="K83" s="1505">
        <f t="shared" si="53"/>
        <v>-8.1846940700002193</v>
      </c>
      <c r="L83" s="1505"/>
      <c r="M83" s="1531" t="s">
        <v>2</v>
      </c>
      <c r="N83" s="1531" t="s">
        <v>2</v>
      </c>
      <c r="O83" s="1531" t="s">
        <v>2</v>
      </c>
      <c r="P83" s="1531" t="s">
        <v>2</v>
      </c>
      <c r="Q83" s="1531" t="s">
        <v>2</v>
      </c>
      <c r="R83" s="666"/>
      <c r="S83" s="666"/>
      <c r="T83" s="549"/>
      <c r="U83" s="536"/>
      <c r="V83" s="529"/>
      <c r="W83" s="529"/>
      <c r="X83" s="529"/>
      <c r="Y83" s="529"/>
      <c r="Z83" s="529"/>
      <c r="AA83" s="529"/>
      <c r="AB83" s="529"/>
      <c r="AC83" s="529"/>
      <c r="AD83" s="549"/>
      <c r="AE83" s="549"/>
      <c r="AF83" s="549"/>
    </row>
    <row r="84" spans="2:32" s="526" customFormat="1" ht="4.5" customHeight="1">
      <c r="C84" s="666"/>
      <c r="D84" s="318"/>
      <c r="E84" s="318"/>
      <c r="F84" s="318"/>
      <c r="G84" s="1533"/>
      <c r="H84" s="1533"/>
      <c r="I84" s="1533"/>
      <c r="J84" s="1533"/>
      <c r="K84" s="1533"/>
      <c r="L84" s="1533"/>
      <c r="M84" s="1533"/>
      <c r="N84" s="1533"/>
      <c r="O84" s="1533"/>
      <c r="P84" s="1533"/>
      <c r="Q84" s="1533"/>
      <c r="R84" s="318"/>
      <c r="S84" s="666"/>
      <c r="T84" s="548"/>
      <c r="U84" s="532"/>
      <c r="V84" s="533"/>
      <c r="W84" s="533"/>
      <c r="X84" s="533"/>
      <c r="Y84" s="533"/>
      <c r="Z84" s="533"/>
      <c r="AA84" s="533"/>
      <c r="AB84" s="533"/>
      <c r="AC84" s="533"/>
      <c r="AD84" s="548"/>
      <c r="AE84" s="548"/>
      <c r="AF84" s="548"/>
    </row>
    <row r="85" spans="2:32" ht="15" customHeight="1">
      <c r="B85" s="537"/>
      <c r="C85" s="1509" t="str">
        <f>IF(Indice_index!$Z$1=1,"Receita efetiva","Effective revenue")</f>
        <v>Receita efetiva</v>
      </c>
      <c r="D85" s="1509"/>
      <c r="E85" s="1509"/>
      <c r="F85" s="1509"/>
      <c r="G85" s="1534">
        <f>M27-G27</f>
        <v>6805.1568922099977</v>
      </c>
      <c r="H85" s="1534">
        <f>N27-H27</f>
        <v>3339.9612572599508</v>
      </c>
      <c r="I85" s="1534">
        <f>O27-I27</f>
        <v>1046.4088339522878</v>
      </c>
      <c r="J85" s="1534">
        <f>P27-J27</f>
        <v>1956.2455418500031</v>
      </c>
      <c r="K85" s="1534">
        <f>Q27-K27</f>
        <v>10131.858011402233</v>
      </c>
      <c r="L85" s="1528"/>
      <c r="M85" s="1534">
        <f>IF(IFERROR((M27-G27)/G27*100,"")&gt;500,"-",IFERROR((M27-G27)/G27*100,""))</f>
        <v>13.59016462416831</v>
      </c>
      <c r="N85" s="1534">
        <f>IF(IFERROR((N27-H27)/H27*100,"")&gt;500,"-",IFERROR((N27-H27)/H27*100,""))</f>
        <v>9.2680591443544156</v>
      </c>
      <c r="O85" s="1534">
        <f>IF(IFERROR((O27-I27)/I27*100,"")&gt;500,"-",IFERROR((O27-I27)/I27*100,""))</f>
        <v>8.0772169142535848</v>
      </c>
      <c r="P85" s="1534">
        <f>IF(IFERROR((P27-J27)/J27*100,"")&gt;500,"-",IFERROR((P27-J27)/J27*100,""))</f>
        <v>5.8279627042340039</v>
      </c>
      <c r="Q85" s="1534">
        <f>IF(IFERROR((Q27-K27)/K27*100,"")&gt;500,"-",IFERROR((Q27-K27)/K27*100,""))</f>
        <v>11.014911970280178</v>
      </c>
      <c r="R85" s="1509"/>
      <c r="S85" s="666"/>
      <c r="T85" s="549"/>
      <c r="U85" s="549"/>
      <c r="V85" s="19"/>
      <c r="W85" s="19"/>
      <c r="AD85" s="549"/>
      <c r="AE85" s="549"/>
      <c r="AF85" s="549"/>
    </row>
    <row r="86" spans="2:32" s="526" customFormat="1" ht="4.5" customHeight="1">
      <c r="C86" s="666"/>
      <c r="D86" s="318"/>
      <c r="E86" s="318"/>
      <c r="F86" s="318"/>
      <c r="G86" s="1533"/>
      <c r="H86" s="1533"/>
      <c r="I86" s="1533"/>
      <c r="J86" s="1533"/>
      <c r="K86" s="1535"/>
      <c r="L86" s="1533"/>
      <c r="M86" s="1533"/>
      <c r="N86" s="1533"/>
      <c r="O86" s="1533"/>
      <c r="P86" s="1533"/>
      <c r="Q86" s="1533"/>
      <c r="R86" s="318"/>
      <c r="S86" s="666"/>
      <c r="T86" s="548"/>
      <c r="U86" s="548"/>
      <c r="V86" s="527"/>
      <c r="W86" s="527"/>
      <c r="X86" s="527"/>
      <c r="Y86" s="527"/>
      <c r="Z86" s="527"/>
      <c r="AA86" s="527"/>
      <c r="AB86" s="527"/>
      <c r="AC86" s="527"/>
      <c r="AD86" s="548"/>
      <c r="AE86" s="548"/>
      <c r="AF86" s="548"/>
    </row>
    <row r="87" spans="2:32" ht="15" customHeight="1">
      <c r="C87" s="318" t="str">
        <f>IF(Indice_index!$Z$1=1,"Despesa corrente","Current expenditure")</f>
        <v>Despesa corrente</v>
      </c>
      <c r="D87" s="666"/>
      <c r="E87" s="819"/>
      <c r="F87" s="666"/>
      <c r="G87" s="1528">
        <f t="shared" ref="G87:G106" si="60">M29-G29</f>
        <v>3604.5411711199922</v>
      </c>
      <c r="H87" s="1528">
        <f t="shared" ref="H87:H106" si="61">N29-H29</f>
        <v>3628.3299423799326</v>
      </c>
      <c r="I87" s="1528">
        <f t="shared" ref="I87:I106" si="62">O29-I29</f>
        <v>708.6351297698493</v>
      </c>
      <c r="J87" s="1528">
        <f t="shared" ref="J87:J106" si="63">P29-J29</f>
        <v>209.61528933000955</v>
      </c>
      <c r="K87" s="1528">
        <f t="shared" ref="K87:K106" si="64">Q29-K29</f>
        <v>4754.7600599798316</v>
      </c>
      <c r="L87" s="1528"/>
      <c r="M87" s="1528">
        <f t="shared" ref="M87:M98" si="65">IF(IFERROR((M29-G29)/G29*100,"")&gt;500,"-",IFERROR((M29-G29)/G29*100,""))</f>
        <v>6.4010921874974773</v>
      </c>
      <c r="N87" s="1528">
        <f t="shared" ref="N87:N98" si="66">IF(IFERROR((N29-H29)/H29*100,"")&gt;500,"-",IFERROR((N29-H29)/H29*100,""))</f>
        <v>10.997471259226607</v>
      </c>
      <c r="O87" s="1528">
        <f t="shared" ref="O87:O98" si="67">IF(IFERROR((O29-I29)/I29*100,"")&gt;500,"-",IFERROR((O29-I29)/I29*100,""))</f>
        <v>7.1356250261986203</v>
      </c>
      <c r="P87" s="1528">
        <f t="shared" ref="P87:P98" si="68">IF(IFERROR((P29-J29)/J29*100,"")&gt;500,"-",IFERROR((P29-J29)/J29*100,""))</f>
        <v>0.67194186436117975</v>
      </c>
      <c r="Q87" s="1528">
        <f t="shared" ref="Q87:Q98" si="69">IF(IFERROR((Q29-K29)/K29*100,"")&gt;500,"-",IFERROR((Q29-K29)/K29*100,""))</f>
        <v>5.1510202427667267</v>
      </c>
      <c r="R87" s="666"/>
      <c r="S87" s="666"/>
      <c r="T87" s="549"/>
      <c r="U87" s="549"/>
      <c r="V87" s="19"/>
      <c r="W87" s="19"/>
      <c r="AD87" s="549"/>
      <c r="AE87" s="549"/>
      <c r="AF87" s="549"/>
    </row>
    <row r="88" spans="2:32" ht="15" customHeight="1">
      <c r="C88" s="819" t="str">
        <f>IF(Indice_index!$Z$1=1,"Despesas com o pessoal","Compensation of employees")</f>
        <v>Despesas com o pessoal</v>
      </c>
      <c r="D88" s="666"/>
      <c r="E88" s="819"/>
      <c r="F88" s="666"/>
      <c r="G88" s="1505">
        <f t="shared" si="60"/>
        <v>7.5384431000111363</v>
      </c>
      <c r="H88" s="1505">
        <f t="shared" si="61"/>
        <v>283.06240646997867</v>
      </c>
      <c r="I88" s="1505">
        <f t="shared" si="62"/>
        <v>412.66836477263678</v>
      </c>
      <c r="J88" s="1505">
        <f t="shared" si="63"/>
        <v>9.852939430000049</v>
      </c>
      <c r="K88" s="1505">
        <f t="shared" si="64"/>
        <v>713.12215377262692</v>
      </c>
      <c r="L88" s="1505"/>
      <c r="M88" s="1505">
        <f t="shared" si="65"/>
        <v>7.3998656579729566E-2</v>
      </c>
      <c r="N88" s="1505">
        <f t="shared" si="66"/>
        <v>3.3196935046780243</v>
      </c>
      <c r="O88" s="1505">
        <f t="shared" si="67"/>
        <v>9.0615422899278819</v>
      </c>
      <c r="P88" s="1505">
        <f t="shared" si="68"/>
        <v>3.3632386311067597</v>
      </c>
      <c r="Q88" s="1505">
        <f t="shared" si="69"/>
        <v>3.02669853340955</v>
      </c>
      <c r="R88" s="666"/>
      <c r="S88" s="666"/>
      <c r="T88" s="549"/>
      <c r="U88" s="549"/>
      <c r="V88" s="19"/>
      <c r="W88" s="19"/>
      <c r="AD88" s="549"/>
      <c r="AE88" s="549"/>
      <c r="AF88" s="549"/>
    </row>
    <row r="89" spans="2:32" ht="15" customHeight="1">
      <c r="C89" s="932" t="str">
        <f>IF(Indice_index!$Z$1=1,"Remunerações Certas e Permanentes","Certain and permanent wages")</f>
        <v>Remunerações Certas e Permanentes</v>
      </c>
      <c r="D89" s="666"/>
      <c r="E89" s="819"/>
      <c r="F89" s="666"/>
      <c r="G89" s="1505">
        <f t="shared" si="60"/>
        <v>2.186341970013018</v>
      </c>
      <c r="H89" s="1505">
        <f t="shared" si="61"/>
        <v>208.25186800997926</v>
      </c>
      <c r="I89" s="1505">
        <f t="shared" si="62"/>
        <v>327.24083911206299</v>
      </c>
      <c r="J89" s="1505">
        <f t="shared" si="63"/>
        <v>8.6546525200000417</v>
      </c>
      <c r="K89" s="1505">
        <f t="shared" si="64"/>
        <v>546.33370161205676</v>
      </c>
      <c r="L89" s="1505"/>
      <c r="M89" s="1505">
        <f t="shared" si="65"/>
        <v>2.973479465955265E-2</v>
      </c>
      <c r="N89" s="1505">
        <f t="shared" si="66"/>
        <v>3.501728070383932</v>
      </c>
      <c r="O89" s="1505">
        <f t="shared" si="67"/>
        <v>9.6893513453533764</v>
      </c>
      <c r="P89" s="1505">
        <f t="shared" si="68"/>
        <v>3.703372612845615</v>
      </c>
      <c r="Q89" s="1505">
        <f t="shared" si="69"/>
        <v>3.2306515588081695</v>
      </c>
      <c r="R89" s="666"/>
      <c r="S89" s="666"/>
      <c r="T89" s="549"/>
      <c r="U89" s="549"/>
      <c r="V89" s="19"/>
      <c r="W89" s="19"/>
      <c r="AD89" s="549"/>
      <c r="AE89" s="549"/>
      <c r="AF89" s="549"/>
    </row>
    <row r="90" spans="2:32" ht="15" customHeight="1">
      <c r="C90" s="932" t="str">
        <f>IF(Indice_index!$Z$1=1,"Abonos Variáveis ou Eventuais","Variable or contingent bonuses")</f>
        <v>Abonos Variáveis ou Eventuais</v>
      </c>
      <c r="D90" s="666"/>
      <c r="E90" s="819"/>
      <c r="F90" s="666"/>
      <c r="G90" s="1505">
        <f t="shared" si="60"/>
        <v>18.107544730000654</v>
      </c>
      <c r="H90" s="1505">
        <f t="shared" si="61"/>
        <v>30.383162899999775</v>
      </c>
      <c r="I90" s="1505">
        <f t="shared" si="62"/>
        <v>17.959590502949624</v>
      </c>
      <c r="J90" s="1505">
        <f t="shared" si="63"/>
        <v>0.13249195999999852</v>
      </c>
      <c r="K90" s="1505">
        <f t="shared" si="64"/>
        <v>66.582790092949836</v>
      </c>
      <c r="L90" s="1505"/>
      <c r="M90" s="1505">
        <f t="shared" si="65"/>
        <v>4.680369534804548</v>
      </c>
      <c r="N90" s="1505">
        <f t="shared" si="66"/>
        <v>3.2149238502719792</v>
      </c>
      <c r="O90" s="1505">
        <f t="shared" si="67"/>
        <v>7.5163611985585739</v>
      </c>
      <c r="P90" s="1505">
        <f t="shared" si="68"/>
        <v>2.5892896860503973</v>
      </c>
      <c r="Q90" s="1505">
        <f t="shared" si="69"/>
        <v>4.2247801983997277</v>
      </c>
      <c r="R90" s="666"/>
      <c r="S90" s="666"/>
      <c r="T90" s="549"/>
      <c r="U90" s="549"/>
      <c r="V90" s="19"/>
      <c r="W90" s="19"/>
      <c r="AD90" s="549"/>
      <c r="AE90" s="549"/>
      <c r="AF90" s="549"/>
    </row>
    <row r="91" spans="2:32" ht="15" customHeight="1">
      <c r="C91" s="932" t="str">
        <f>IF(Indice_index!$Z$1=1,"Segurança social","Social security")</f>
        <v>Segurança social</v>
      </c>
      <c r="D91" s="666"/>
      <c r="E91" s="819"/>
      <c r="F91" s="666"/>
      <c r="G91" s="1505">
        <f t="shared" si="60"/>
        <v>-12.755443600002764</v>
      </c>
      <c r="H91" s="1505">
        <f t="shared" si="61"/>
        <v>44.427375560000428</v>
      </c>
      <c r="I91" s="1505">
        <f t="shared" si="62"/>
        <v>67.467935157624765</v>
      </c>
      <c r="J91" s="1505">
        <f t="shared" si="63"/>
        <v>1.0657949499999901</v>
      </c>
      <c r="K91" s="1505">
        <f t="shared" si="64"/>
        <v>100.20566206762214</v>
      </c>
      <c r="L91" s="1505"/>
      <c r="M91" s="1505">
        <f t="shared" si="65"/>
        <v>-0.521144960163477</v>
      </c>
      <c r="N91" s="1505">
        <f t="shared" si="66"/>
        <v>2.7179690965970682</v>
      </c>
      <c r="O91" s="1505">
        <f t="shared" si="67"/>
        <v>7.1942872616850337</v>
      </c>
      <c r="P91" s="1505">
        <f t="shared" si="68"/>
        <v>1.9683566414104328</v>
      </c>
      <c r="Q91" s="1505">
        <f t="shared" si="69"/>
        <v>1.9748437802603276</v>
      </c>
      <c r="R91" s="666"/>
      <c r="S91" s="666"/>
      <c r="T91" s="549"/>
      <c r="U91" s="549"/>
      <c r="V91" s="19"/>
      <c r="W91" s="19"/>
      <c r="AD91" s="549"/>
      <c r="AE91" s="549"/>
      <c r="AF91" s="549"/>
    </row>
    <row r="92" spans="2:32" ht="15" customHeight="1">
      <c r="C92" s="819" t="str">
        <f>IF(Indice_index!$Z$1=1,"Aquisição de bens e serviços","Purchase of goods and services")</f>
        <v>Aquisição de bens e serviços</v>
      </c>
      <c r="D92" s="666"/>
      <c r="E92" s="819"/>
      <c r="F92" s="666"/>
      <c r="G92" s="1505">
        <f t="shared" si="60"/>
        <v>-56.376093209995133</v>
      </c>
      <c r="H92" s="1505">
        <f t="shared" si="61"/>
        <v>1122.5814296399549</v>
      </c>
      <c r="I92" s="1505">
        <f t="shared" si="62"/>
        <v>269.39739995147056</v>
      </c>
      <c r="J92" s="1505">
        <f t="shared" si="63"/>
        <v>-9.4466180700000137</v>
      </c>
      <c r="K92" s="1505">
        <f t="shared" si="64"/>
        <v>1326.9125019814292</v>
      </c>
      <c r="L92" s="1505"/>
      <c r="M92" s="1505">
        <f t="shared" si="65"/>
        <v>-3.1298911275563315</v>
      </c>
      <c r="N92" s="1505">
        <f t="shared" si="66"/>
        <v>11.72022307811754</v>
      </c>
      <c r="O92" s="1505">
        <f t="shared" si="67"/>
        <v>7.999475953384259</v>
      </c>
      <c r="P92" s="1505">
        <f t="shared" si="68"/>
        <v>-9.4483628311358281</v>
      </c>
      <c r="Q92" s="1505">
        <f t="shared" si="69"/>
        <v>8.9410604139840046</v>
      </c>
      <c r="R92" s="666"/>
      <c r="S92" s="666"/>
      <c r="T92" s="549"/>
      <c r="U92" s="549"/>
      <c r="V92" s="19"/>
      <c r="W92" s="19"/>
      <c r="AD92" s="549"/>
      <c r="AE92" s="549"/>
      <c r="AF92" s="549"/>
    </row>
    <row r="93" spans="2:32" ht="15" customHeight="1">
      <c r="C93" s="819" t="str">
        <f>IF(Indice_index!$Z$1=1,"Juros e outros encargos","Interests and other charges")</f>
        <v>Juros e outros encargos</v>
      </c>
      <c r="D93" s="666"/>
      <c r="E93" s="819"/>
      <c r="F93" s="666"/>
      <c r="G93" s="1505">
        <f t="shared" si="60"/>
        <v>-264.75053139000102</v>
      </c>
      <c r="H93" s="1505">
        <f t="shared" si="61"/>
        <v>-311.06360943999988</v>
      </c>
      <c r="I93" s="1505">
        <f t="shared" si="62"/>
        <v>18.777778653703848</v>
      </c>
      <c r="J93" s="1505">
        <f t="shared" si="63"/>
        <v>0.38824677000000207</v>
      </c>
      <c r="K93" s="1505">
        <f t="shared" si="64"/>
        <v>-380.91156600629802</v>
      </c>
      <c r="L93" s="1505"/>
      <c r="M93" s="1505">
        <f t="shared" si="65"/>
        <v>-4.1481432870450021</v>
      </c>
      <c r="N93" s="1505">
        <f t="shared" si="66"/>
        <v>-49.218226937519802</v>
      </c>
      <c r="O93" s="1505">
        <f t="shared" si="67"/>
        <v>11.572360456393914</v>
      </c>
      <c r="P93" s="1505">
        <f t="shared" si="68"/>
        <v>5.9665514662629402</v>
      </c>
      <c r="Q93" s="1505">
        <f t="shared" si="69"/>
        <v>-5.4789317480266035</v>
      </c>
      <c r="R93" s="666"/>
      <c r="S93" s="666"/>
      <c r="T93" s="549"/>
      <c r="U93" s="549"/>
      <c r="V93" s="19"/>
      <c r="W93" s="19"/>
      <c r="AD93" s="549"/>
      <c r="AE93" s="549"/>
      <c r="AF93" s="549"/>
    </row>
    <row r="94" spans="2:32" ht="15" customHeight="1">
      <c r="C94" s="819" t="str">
        <f>IF(Indice_index!$Z$1=1,"Transferências correntes","Current transfers")</f>
        <v>Transferências correntes</v>
      </c>
      <c r="D94" s="666"/>
      <c r="E94" s="819"/>
      <c r="F94" s="666"/>
      <c r="G94" s="1505">
        <f t="shared" si="60"/>
        <v>3818.2602277899787</v>
      </c>
      <c r="H94" s="1505">
        <f t="shared" si="61"/>
        <v>2506.3174826100076</v>
      </c>
      <c r="I94" s="1505">
        <f t="shared" si="62"/>
        <v>-29.813666943116914</v>
      </c>
      <c r="J94" s="1505">
        <f t="shared" si="63"/>
        <v>238.12407964000886</v>
      </c>
      <c r="K94" s="1505">
        <f t="shared" si="64"/>
        <v>3060.0082904069059</v>
      </c>
      <c r="L94" s="1505"/>
      <c r="M94" s="1505">
        <f t="shared" si="65"/>
        <v>10.212035424706018</v>
      </c>
      <c r="N94" s="1505">
        <f t="shared" si="66"/>
        <v>19.209100680131083</v>
      </c>
      <c r="O94" s="1505">
        <f t="shared" si="67"/>
        <v>-2.627487590103462</v>
      </c>
      <c r="P94" s="1505">
        <f t="shared" si="68"/>
        <v>0.79891922289546335</v>
      </c>
      <c r="Q94" s="1505">
        <f t="shared" si="69"/>
        <v>6.9881387266781267</v>
      </c>
      <c r="R94" s="666"/>
      <c r="S94" s="666"/>
      <c r="T94" s="549"/>
      <c r="U94" s="549"/>
      <c r="V94" s="19"/>
      <c r="W94" s="19"/>
      <c r="AD94" s="549"/>
      <c r="AE94" s="549"/>
      <c r="AF94" s="549"/>
    </row>
    <row r="95" spans="2:32" ht="15" customHeight="1">
      <c r="C95" s="1504" t="str">
        <f>IF(Indice_index!$Z$1=1,"Administrações Públicas","General Government subsectors")</f>
        <v>Administrações Públicas</v>
      </c>
      <c r="D95" s="666"/>
      <c r="E95" s="819"/>
      <c r="F95" s="666"/>
      <c r="G95" s="1505">
        <f t="shared" si="60"/>
        <v>3835.9472416399803</v>
      </c>
      <c r="H95" s="1505">
        <f t="shared" si="61"/>
        <v>-39.735170570000037</v>
      </c>
      <c r="I95" s="1505">
        <f t="shared" si="62"/>
        <v>12.945496720000023</v>
      </c>
      <c r="J95" s="1505">
        <f t="shared" si="63"/>
        <v>-336.2777351000002</v>
      </c>
      <c r="K95" s="1505">
        <f t="shared" si="64"/>
        <v>0</v>
      </c>
      <c r="L95" s="1505"/>
      <c r="M95" s="1505">
        <f t="shared" si="65"/>
        <v>11.243822435254343</v>
      </c>
      <c r="N95" s="1505">
        <f t="shared" si="66"/>
        <v>-3.2824813883696362</v>
      </c>
      <c r="O95" s="1505">
        <f t="shared" si="67"/>
        <v>7.8704424345138486</v>
      </c>
      <c r="P95" s="1505">
        <f t="shared" si="68"/>
        <v>-16.027201890170296</v>
      </c>
      <c r="Q95" s="1505" t="str">
        <f t="shared" si="69"/>
        <v>-</v>
      </c>
      <c r="R95" s="666"/>
      <c r="S95" s="666"/>
      <c r="T95" s="549"/>
      <c r="U95" s="549"/>
      <c r="V95" s="19"/>
      <c r="W95" s="19"/>
      <c r="AD95" s="549"/>
      <c r="AE95" s="549"/>
      <c r="AF95" s="549"/>
    </row>
    <row r="96" spans="2:32" ht="15" customHeight="1">
      <c r="C96" s="1504" t="str">
        <f>IF(Indice_index!$Z$1=1,"Outras","Others")</f>
        <v>Outras</v>
      </c>
      <c r="D96" s="666"/>
      <c r="E96" s="819"/>
      <c r="F96" s="666"/>
      <c r="G96" s="1505">
        <f t="shared" si="60"/>
        <v>-17.687013850000312</v>
      </c>
      <c r="H96" s="1505">
        <f t="shared" si="61"/>
        <v>2546.0526531800078</v>
      </c>
      <c r="I96" s="1505">
        <f t="shared" si="62"/>
        <v>-42.759163663117079</v>
      </c>
      <c r="J96" s="1505">
        <f t="shared" si="63"/>
        <v>574.40181474000929</v>
      </c>
      <c r="K96" s="1505">
        <f t="shared" si="64"/>
        <v>3060.0082904069059</v>
      </c>
      <c r="L96" s="1505"/>
      <c r="M96" s="1505">
        <f t="shared" si="65"/>
        <v>-0.54026548417685449</v>
      </c>
      <c r="N96" s="1505">
        <f t="shared" si="66"/>
        <v>21.509218394775587</v>
      </c>
      <c r="O96" s="1505">
        <f t="shared" si="67"/>
        <v>-4.4072479396080757</v>
      </c>
      <c r="P96" s="1505">
        <f t="shared" si="68"/>
        <v>2.0730833741053609</v>
      </c>
      <c r="Q96" s="1505">
        <f t="shared" si="69"/>
        <v>6.9881387266781267</v>
      </c>
      <c r="R96" s="666"/>
      <c r="S96" s="666"/>
      <c r="T96" s="549"/>
      <c r="U96" s="549"/>
      <c r="V96" s="19"/>
      <c r="W96" s="19"/>
      <c r="AD96" s="549"/>
      <c r="AE96" s="549"/>
      <c r="AF96" s="549"/>
    </row>
    <row r="97" spans="2:32" ht="15" customHeight="1">
      <c r="C97" s="819" t="str">
        <f>IF(Indice_index!$Z$1=1,"Subsídios","Subsidies")</f>
        <v>Subsídios</v>
      </c>
      <c r="D97" s="666"/>
      <c r="E97" s="819"/>
      <c r="F97" s="666"/>
      <c r="G97" s="1505">
        <f t="shared" si="60"/>
        <v>58.324156389999985</v>
      </c>
      <c r="H97" s="1505">
        <f t="shared" si="61"/>
        <v>-286.39707028999999</v>
      </c>
      <c r="I97" s="1505">
        <f t="shared" si="62"/>
        <v>7.3541163942851426</v>
      </c>
      <c r="J97" s="1505">
        <f t="shared" si="63"/>
        <v>-30.429413660000137</v>
      </c>
      <c r="K97" s="1505">
        <f t="shared" si="64"/>
        <v>-120.22154414571514</v>
      </c>
      <c r="L97" s="1505"/>
      <c r="M97" s="1505">
        <f t="shared" si="65"/>
        <v>40.056827803856962</v>
      </c>
      <c r="N97" s="1505">
        <f t="shared" si="66"/>
        <v>-29.623418802696289</v>
      </c>
      <c r="O97" s="1505">
        <f t="shared" si="67"/>
        <v>1.2524751817644602</v>
      </c>
      <c r="P97" s="1505">
        <f t="shared" si="68"/>
        <v>-3.1041537066732072</v>
      </c>
      <c r="Q97" s="1505">
        <f t="shared" si="69"/>
        <v>-5.5854225257346117</v>
      </c>
      <c r="R97" s="666"/>
      <c r="S97" s="666"/>
      <c r="T97" s="549"/>
      <c r="U97" s="549"/>
      <c r="V97" s="19"/>
      <c r="W97" s="19"/>
      <c r="AD97" s="549"/>
      <c r="AE97" s="549"/>
      <c r="AF97" s="549"/>
    </row>
    <row r="98" spans="2:32" ht="15" customHeight="1">
      <c r="C98" s="819" t="str">
        <f>IF(Indice_index!$Z$1=1,"Outras despesas correntes","Other current expenditures")</f>
        <v>Outras despesas correntes</v>
      </c>
      <c r="D98" s="666"/>
      <c r="E98" s="1536"/>
      <c r="F98" s="666"/>
      <c r="G98" s="1505">
        <f t="shared" si="60"/>
        <v>36.164100300000143</v>
      </c>
      <c r="H98" s="1505">
        <f t="shared" si="61"/>
        <v>288.7633111500005</v>
      </c>
      <c r="I98" s="1505">
        <f t="shared" si="62"/>
        <v>26.689973240870302</v>
      </c>
      <c r="J98" s="1505">
        <f t="shared" si="63"/>
        <v>1.1260552200000031</v>
      </c>
      <c r="K98" s="1505">
        <f t="shared" si="64"/>
        <v>352.74343991087085</v>
      </c>
      <c r="L98" s="1505"/>
      <c r="M98" s="1505">
        <f t="shared" si="65"/>
        <v>8.9679112738576503</v>
      </c>
      <c r="N98" s="1505">
        <f t="shared" si="66"/>
        <v>123.16610632088837</v>
      </c>
      <c r="O98" s="1505">
        <f t="shared" si="67"/>
        <v>22.406840802881952</v>
      </c>
      <c r="P98" s="1505">
        <f t="shared" si="68"/>
        <v>11.323418141656623</v>
      </c>
      <c r="Q98" s="1505">
        <f t="shared" si="69"/>
        <v>46.003741110500577</v>
      </c>
      <c r="R98" s="666"/>
      <c r="S98" s="666"/>
      <c r="T98" s="549"/>
      <c r="U98" s="549"/>
      <c r="V98" s="19"/>
      <c r="W98" s="19"/>
      <c r="AD98" s="549"/>
      <c r="AE98" s="549"/>
      <c r="AF98" s="549"/>
    </row>
    <row r="99" spans="2:32" s="526" customFormat="1" ht="15" customHeight="1">
      <c r="C99" s="819" t="str">
        <f>IF(Indice_index!$Z$1=1,"Diferenças de consolidação","Consolidation differences")</f>
        <v>Diferenças de consolidação</v>
      </c>
      <c r="D99" s="318"/>
      <c r="E99" s="318"/>
      <c r="F99" s="318"/>
      <c r="G99" s="1505">
        <f t="shared" si="60"/>
        <v>5.3808681400001488</v>
      </c>
      <c r="H99" s="1505">
        <f t="shared" si="61"/>
        <v>25.065992240005073</v>
      </c>
      <c r="I99" s="1505">
        <f t="shared" si="62"/>
        <v>3.5611636999997245</v>
      </c>
      <c r="J99" s="1505">
        <f t="shared" si="63"/>
        <v>0</v>
      </c>
      <c r="K99" s="1505">
        <f t="shared" si="64"/>
        <v>-196.89321593998133</v>
      </c>
      <c r="L99" s="1505"/>
      <c r="M99" s="1531" t="s">
        <v>2</v>
      </c>
      <c r="N99" s="1531" t="s">
        <v>2</v>
      </c>
      <c r="O99" s="1531" t="s">
        <v>2</v>
      </c>
      <c r="P99" s="1531" t="s">
        <v>2</v>
      </c>
      <c r="Q99" s="1531" t="s">
        <v>2</v>
      </c>
      <c r="R99" s="1531"/>
      <c r="S99" s="666"/>
      <c r="T99" s="548"/>
      <c r="U99" s="548"/>
      <c r="V99" s="527"/>
      <c r="W99" s="527"/>
      <c r="X99" s="527"/>
      <c r="Y99" s="527"/>
      <c r="Z99" s="527"/>
      <c r="AA99" s="527"/>
      <c r="AB99" s="527"/>
      <c r="AC99" s="527"/>
      <c r="AD99" s="548"/>
      <c r="AE99" s="548"/>
      <c r="AF99" s="548"/>
    </row>
    <row r="100" spans="2:32" ht="15" customHeight="1">
      <c r="C100" s="318" t="str">
        <f>IF(Indice_index!$Z$1=1,"Despesa de capital","Capital expenditure")</f>
        <v>Despesa de capital</v>
      </c>
      <c r="D100" s="666"/>
      <c r="E100" s="819"/>
      <c r="F100" s="666"/>
      <c r="G100" s="1528">
        <f t="shared" si="60"/>
        <v>-236.71790541999781</v>
      </c>
      <c r="H100" s="1528">
        <f t="shared" si="61"/>
        <v>322.14886237000428</v>
      </c>
      <c r="I100" s="1528">
        <f t="shared" si="62"/>
        <v>-115.90650642421951</v>
      </c>
      <c r="J100" s="1528">
        <f t="shared" si="63"/>
        <v>9.0439355700000021</v>
      </c>
      <c r="K100" s="1528">
        <f t="shared" si="64"/>
        <v>359.01534484578588</v>
      </c>
      <c r="L100" s="1528"/>
      <c r="M100" s="1528">
        <f t="shared" ref="M100:Q105" si="70">IF(IFERROR((M42-G42)/G42*100,"")&gt;500,"-",IFERROR((M42-G42)/G42*100,""))</f>
        <v>-7.319412135702323</v>
      </c>
      <c r="N100" s="1528">
        <f t="shared" si="70"/>
        <v>7.6769297375354135</v>
      </c>
      <c r="O100" s="1528">
        <f t="shared" si="70"/>
        <v>-3.4717300676079503</v>
      </c>
      <c r="P100" s="1528">
        <f t="shared" si="70"/>
        <v>21.117518679855582</v>
      </c>
      <c r="Q100" s="1528">
        <f t="shared" si="70"/>
        <v>4.3333860469400207</v>
      </c>
      <c r="R100" s="666"/>
      <c r="S100" s="666"/>
      <c r="T100" s="549"/>
      <c r="U100" s="549"/>
      <c r="V100" s="19"/>
      <c r="W100" s="19"/>
      <c r="AD100" s="549"/>
      <c r="AE100" s="549"/>
      <c r="AF100" s="549"/>
    </row>
    <row r="101" spans="2:32" ht="15" customHeight="1">
      <c r="C101" s="819" t="str">
        <f>IF(Indice_index!$Z$1=1,"Investimentos","Investments")</f>
        <v>Investimentos</v>
      </c>
      <c r="D101" s="666"/>
      <c r="E101" s="819"/>
      <c r="F101" s="666"/>
      <c r="G101" s="1505">
        <f t="shared" si="60"/>
        <v>181.26042650000181</v>
      </c>
      <c r="H101" s="1505">
        <f t="shared" si="61"/>
        <v>267.43650380000327</v>
      </c>
      <c r="I101" s="1505">
        <f t="shared" si="62"/>
        <v>-72.707605151676489</v>
      </c>
      <c r="J101" s="1505">
        <f t="shared" si="63"/>
        <v>7.0817244899999992</v>
      </c>
      <c r="K101" s="1505">
        <f t="shared" si="64"/>
        <v>383.07104963832808</v>
      </c>
      <c r="L101" s="1505"/>
      <c r="M101" s="1505">
        <f t="shared" si="70"/>
        <v>26.636755327852619</v>
      </c>
      <c r="N101" s="1505">
        <f t="shared" si="70"/>
        <v>9.7481739086714114</v>
      </c>
      <c r="O101" s="1505">
        <f t="shared" si="70"/>
        <v>-2.5800302473065306</v>
      </c>
      <c r="P101" s="1505">
        <f t="shared" si="70"/>
        <v>18.322150515815309</v>
      </c>
      <c r="Q101" s="1505">
        <f t="shared" si="70"/>
        <v>6.0991926178546878</v>
      </c>
      <c r="R101" s="666"/>
      <c r="S101" s="666"/>
      <c r="T101" s="549"/>
      <c r="U101" s="549"/>
      <c r="V101" s="19"/>
      <c r="W101" s="19"/>
      <c r="AD101" s="549"/>
      <c r="AE101" s="549"/>
      <c r="AF101" s="549"/>
    </row>
    <row r="102" spans="2:32" ht="15" customHeight="1">
      <c r="C102" s="819" t="str">
        <f>IF(Indice_index!$Z$1=1,"Transferências de capital","Capital transfers")</f>
        <v>Transferências de capital</v>
      </c>
      <c r="D102" s="666"/>
      <c r="E102" s="819"/>
      <c r="F102" s="666"/>
      <c r="G102" s="1505">
        <f t="shared" si="60"/>
        <v>-415.72323610999956</v>
      </c>
      <c r="H102" s="1505">
        <f t="shared" si="61"/>
        <v>-134.53702337000004</v>
      </c>
      <c r="I102" s="1505">
        <f t="shared" si="62"/>
        <v>-35.060405464349458</v>
      </c>
      <c r="J102" s="1505">
        <f t="shared" si="63"/>
        <v>1.9622110800000003</v>
      </c>
      <c r="K102" s="1505">
        <f t="shared" si="64"/>
        <v>-204.6022041843496</v>
      </c>
      <c r="L102" s="1505"/>
      <c r="M102" s="1505">
        <f t="shared" si="70"/>
        <v>-16.49924779806787</v>
      </c>
      <c r="N102" s="1505">
        <f t="shared" si="70"/>
        <v>-10.46735981308399</v>
      </c>
      <c r="O102" s="1505">
        <f t="shared" si="70"/>
        <v>-7.0493812964254774</v>
      </c>
      <c r="P102" s="1505">
        <f t="shared" si="70"/>
        <v>46.993080246937168</v>
      </c>
      <c r="Q102" s="1505">
        <f t="shared" si="70"/>
        <v>-11.497694982384493</v>
      </c>
      <c r="R102" s="666"/>
      <c r="S102" s="666"/>
      <c r="T102" s="549"/>
      <c r="U102" s="549"/>
      <c r="V102" s="19"/>
      <c r="W102" s="19"/>
      <c r="AD102" s="549"/>
      <c r="AE102" s="549"/>
      <c r="AF102" s="549"/>
    </row>
    <row r="103" spans="2:32" ht="15" customHeight="1">
      <c r="C103" s="1504" t="str">
        <f>IF(Indice_index!$Z$1=1,"Administrações Públicas","General Government subsectors")</f>
        <v>Administrações Públicas</v>
      </c>
      <c r="D103" s="666"/>
      <c r="E103" s="819"/>
      <c r="F103" s="666"/>
      <c r="G103" s="1505">
        <f t="shared" si="60"/>
        <v>-410.3184161399995</v>
      </c>
      <c r="H103" s="1505">
        <f t="shared" si="61"/>
        <v>31.262161589999977</v>
      </c>
      <c r="I103" s="1505">
        <f t="shared" si="62"/>
        <v>0.30000486999999154</v>
      </c>
      <c r="J103" s="1505">
        <f t="shared" si="63"/>
        <v>0</v>
      </c>
      <c r="K103" s="1505">
        <f t="shared" si="64"/>
        <v>0</v>
      </c>
      <c r="L103" s="1505"/>
      <c r="M103" s="1505">
        <f t="shared" si="70"/>
        <v>-16.704807328411356</v>
      </c>
      <c r="N103" s="1505">
        <f t="shared" si="70"/>
        <v>55.656562840859138</v>
      </c>
      <c r="O103" s="1505">
        <f t="shared" si="70"/>
        <v>2.0669309978633597</v>
      </c>
      <c r="P103" s="1505" t="str">
        <f t="shared" si="70"/>
        <v>-</v>
      </c>
      <c r="Q103" s="1505" t="str">
        <f t="shared" si="70"/>
        <v>-</v>
      </c>
      <c r="R103" s="666"/>
      <c r="S103" s="666"/>
      <c r="T103" s="549"/>
      <c r="U103" s="549"/>
      <c r="V103" s="19"/>
      <c r="W103" s="19"/>
      <c r="AD103" s="549"/>
      <c r="AE103" s="549"/>
      <c r="AF103" s="549"/>
    </row>
    <row r="104" spans="2:32" ht="15" customHeight="1">
      <c r="C104" s="1504" t="str">
        <f>IF(Indice_index!$Z$1=1,"Outras","Others")</f>
        <v>Outras</v>
      </c>
      <c r="D104" s="666"/>
      <c r="E104" s="819"/>
      <c r="F104" s="666"/>
      <c r="G104" s="1505">
        <f t="shared" si="60"/>
        <v>-5.4048199700000055</v>
      </c>
      <c r="H104" s="1505">
        <f t="shared" si="61"/>
        <v>-165.79918496000005</v>
      </c>
      <c r="I104" s="1505">
        <f t="shared" si="62"/>
        <v>-35.360410334349467</v>
      </c>
      <c r="J104" s="1505">
        <f t="shared" si="63"/>
        <v>1.9622110800000003</v>
      </c>
      <c r="K104" s="1505">
        <f t="shared" si="64"/>
        <v>-204.6022041843496</v>
      </c>
      <c r="L104" s="1505"/>
      <c r="M104" s="1505">
        <f t="shared" si="70"/>
        <v>-8.5303071522695415</v>
      </c>
      <c r="N104" s="1505">
        <f t="shared" si="70"/>
        <v>-13.489142080238553</v>
      </c>
      <c r="O104" s="1505">
        <f t="shared" si="70"/>
        <v>-7.3234241048714344</v>
      </c>
      <c r="P104" s="1505">
        <f t="shared" si="70"/>
        <v>46.993080246937168</v>
      </c>
      <c r="Q104" s="1505">
        <f t="shared" si="70"/>
        <v>-11.497694982384493</v>
      </c>
      <c r="R104" s="666"/>
      <c r="S104" s="666"/>
      <c r="T104" s="549"/>
      <c r="U104" s="549"/>
      <c r="V104" s="19"/>
      <c r="W104" s="19"/>
      <c r="AD104" s="549"/>
      <c r="AE104" s="549"/>
      <c r="AF104" s="549"/>
    </row>
    <row r="105" spans="2:32" ht="15" customHeight="1">
      <c r="C105" s="819" t="str">
        <f>IF(Indice_index!$Z$1=1,"Outras despesas de capital","Other capital expenditures")</f>
        <v>Outras despesas de capital</v>
      </c>
      <c r="D105" s="666"/>
      <c r="E105" s="1536"/>
      <c r="F105" s="666"/>
      <c r="G105" s="1505">
        <f t="shared" si="60"/>
        <v>-18.813078730000004</v>
      </c>
      <c r="H105" s="1505">
        <f t="shared" si="61"/>
        <v>198.73710942999992</v>
      </c>
      <c r="I105" s="1505">
        <f t="shared" si="62"/>
        <v>0.13017095180630101</v>
      </c>
      <c r="J105" s="1505">
        <f t="shared" si="63"/>
        <v>0</v>
      </c>
      <c r="K105" s="1505">
        <f t="shared" si="64"/>
        <v>180.05420165180618</v>
      </c>
      <c r="L105" s="1505"/>
      <c r="M105" s="1505">
        <f t="shared" si="70"/>
        <v>-55.379203805059177</v>
      </c>
      <c r="N105" s="1505">
        <f t="shared" si="70"/>
        <v>171.58047127804764</v>
      </c>
      <c r="O105" s="1505">
        <f t="shared" si="70"/>
        <v>0.87560653618233386</v>
      </c>
      <c r="P105" s="1505" t="str">
        <f t="shared" si="70"/>
        <v>-</v>
      </c>
      <c r="Q105" s="1505">
        <f t="shared" si="70"/>
        <v>109.34569646338804</v>
      </c>
      <c r="R105" s="666"/>
      <c r="S105" s="666"/>
      <c r="T105" s="549"/>
      <c r="U105" s="549"/>
      <c r="V105" s="19"/>
      <c r="W105" s="19"/>
      <c r="AD105" s="549"/>
      <c r="AE105" s="549"/>
      <c r="AF105" s="549"/>
    </row>
    <row r="106" spans="2:32" ht="15" customHeight="1">
      <c r="B106" s="537"/>
      <c r="C106" s="819" t="str">
        <f>IF(Indice_index!$Z$1=1,"Diferenças de consolidação","Consolidation differences")</f>
        <v>Diferenças de consolidação</v>
      </c>
      <c r="D106" s="666"/>
      <c r="E106" s="800"/>
      <c r="F106" s="666"/>
      <c r="G106" s="1505">
        <f t="shared" si="60"/>
        <v>16.557982920000001</v>
      </c>
      <c r="H106" s="1505">
        <f t="shared" si="61"/>
        <v>-9.4877274899999975</v>
      </c>
      <c r="I106" s="1505">
        <f t="shared" si="62"/>
        <v>-8.2686667600000021</v>
      </c>
      <c r="J106" s="1505">
        <f t="shared" si="63"/>
        <v>0</v>
      </c>
      <c r="K106" s="1505">
        <f t="shared" si="64"/>
        <v>0.49229773999968529</v>
      </c>
      <c r="L106" s="1505"/>
      <c r="M106" s="1531" t="s">
        <v>2</v>
      </c>
      <c r="N106" s="1531" t="s">
        <v>2</v>
      </c>
      <c r="O106" s="1531" t="s">
        <v>2</v>
      </c>
      <c r="P106" s="1531" t="s">
        <v>2</v>
      </c>
      <c r="Q106" s="1531" t="s">
        <v>2</v>
      </c>
      <c r="R106" s="666"/>
      <c r="S106" s="666"/>
      <c r="T106" s="549"/>
      <c r="U106" s="549"/>
      <c r="V106" s="19"/>
      <c r="W106" s="19"/>
      <c r="AD106" s="549"/>
      <c r="AE106" s="549"/>
      <c r="AF106" s="549"/>
    </row>
    <row r="107" spans="2:32" s="526" customFormat="1" ht="4.5" customHeight="1">
      <c r="C107" s="800"/>
      <c r="D107" s="318"/>
      <c r="E107" s="318"/>
      <c r="F107" s="318"/>
      <c r="G107" s="1537"/>
      <c r="H107" s="1537"/>
      <c r="I107" s="1537"/>
      <c r="J107" s="1537"/>
      <c r="K107" s="1537"/>
      <c r="L107" s="1537"/>
      <c r="M107" s="1537"/>
      <c r="N107" s="1537"/>
      <c r="O107" s="1537"/>
      <c r="P107" s="1537"/>
      <c r="Q107" s="1537"/>
      <c r="R107" s="318"/>
      <c r="S107" s="666"/>
      <c r="T107" s="548"/>
      <c r="U107" s="548"/>
      <c r="V107" s="527"/>
      <c r="W107" s="527"/>
      <c r="X107" s="527"/>
      <c r="Y107" s="527"/>
      <c r="Z107" s="527"/>
      <c r="AA107" s="527"/>
      <c r="AB107" s="527"/>
      <c r="AC107" s="527"/>
      <c r="AD107" s="548"/>
      <c r="AE107" s="548"/>
      <c r="AF107" s="548"/>
    </row>
    <row r="108" spans="2:32" ht="15" customHeight="1">
      <c r="B108" s="537"/>
      <c r="C108" s="1509" t="str">
        <f>IF(Indice_index!$Z$1=1,"Despesa efetiva","Effective expenditure")</f>
        <v>Despesa efetiva</v>
      </c>
      <c r="D108" s="1509"/>
      <c r="E108" s="1509"/>
      <c r="F108" s="1509"/>
      <c r="G108" s="1534">
        <f>M50-G50</f>
        <v>3367.8232656999899</v>
      </c>
      <c r="H108" s="1534">
        <f>N50-H50</f>
        <v>3950.4788047499387</v>
      </c>
      <c r="I108" s="1534">
        <f>O50-I50</f>
        <v>592.72862334562888</v>
      </c>
      <c r="J108" s="1534">
        <f>P50-J50</f>
        <v>218.65922490000958</v>
      </c>
      <c r="K108" s="1534">
        <f>Q50-K50</f>
        <v>5113.7754048256174</v>
      </c>
      <c r="L108" s="1528"/>
      <c r="M108" s="1534">
        <f>IF(IFERROR((M50-G50)/G50*100,"")&gt;500,"-",IFERROR((M50-G50)/G50*100,""))</f>
        <v>5.655886174693725</v>
      </c>
      <c r="N108" s="1534">
        <f>IF(IFERROR((N50-H50)/H50*100,"")&gt;500,"-",IFERROR((N50-H50)/H50*100,""))</f>
        <v>10.622785966285726</v>
      </c>
      <c r="O108" s="1534">
        <f>IF(IFERROR((O50-I50)/I50*100,"")&gt;500,"-",IFERROR((O50-I50)/I50*100,""))</f>
        <v>4.4668404739846537</v>
      </c>
      <c r="P108" s="1534">
        <f>IF(IFERROR((P50-J50)/J50*100,"")&gt;500,"-",IFERROR((P50-J50)/J50*100,""))</f>
        <v>0.69997210787421638</v>
      </c>
      <c r="Q108" s="1534">
        <f>IF(IFERROR((Q50-K50)/K50*100,"")&gt;500,"-",IFERROR((Q50-K50)/K50*100,""))</f>
        <v>5.0836789968812042</v>
      </c>
      <c r="R108" s="1509"/>
      <c r="S108" s="666"/>
      <c r="T108" s="549"/>
      <c r="U108" s="549"/>
      <c r="V108" s="19"/>
      <c r="W108" s="19"/>
      <c r="AD108" s="549"/>
      <c r="AE108" s="549"/>
      <c r="AF108" s="549"/>
    </row>
    <row r="109" spans="2:32" s="526" customFormat="1" ht="4.5" customHeight="1">
      <c r="C109" s="318"/>
      <c r="D109" s="1538"/>
      <c r="E109" s="819"/>
      <c r="F109" s="1538"/>
      <c r="G109" s="1539"/>
      <c r="H109" s="1539"/>
      <c r="I109" s="1539"/>
      <c r="J109" s="1539"/>
      <c r="K109" s="1539"/>
      <c r="L109" s="1540"/>
      <c r="M109" s="1539"/>
      <c r="N109" s="1539"/>
      <c r="O109" s="1539"/>
      <c r="P109" s="1539"/>
      <c r="Q109" s="1539"/>
      <c r="R109" s="1538"/>
      <c r="S109" s="666"/>
      <c r="T109" s="548"/>
      <c r="U109" s="548"/>
      <c r="V109" s="527"/>
      <c r="W109" s="527"/>
      <c r="X109" s="527"/>
      <c r="Y109" s="527"/>
      <c r="Z109" s="527"/>
      <c r="AA109" s="527"/>
      <c r="AB109" s="527"/>
      <c r="AC109" s="527"/>
      <c r="AD109" s="548"/>
      <c r="AE109" s="548"/>
      <c r="AF109" s="548"/>
    </row>
    <row r="110" spans="2:32" ht="15" customHeight="1">
      <c r="C110" s="1509" t="str">
        <f>IF(Indice_index!$Z$1=1,"Saldo global","Overall balance")</f>
        <v>Saldo global</v>
      </c>
      <c r="D110" s="1509"/>
      <c r="E110" s="1509"/>
      <c r="F110" s="1509"/>
      <c r="G110" s="1534">
        <f t="shared" ref="G110:K114" si="71">M52-G52</f>
        <v>3437.3336265100079</v>
      </c>
      <c r="H110" s="1534">
        <f t="shared" si="71"/>
        <v>-610.51754748998792</v>
      </c>
      <c r="I110" s="1534">
        <f t="shared" si="71"/>
        <v>453.68021060665887</v>
      </c>
      <c r="J110" s="1534">
        <f t="shared" si="71"/>
        <v>1737.5863169499935</v>
      </c>
      <c r="K110" s="1534">
        <f t="shared" si="71"/>
        <v>5018.0826065766159</v>
      </c>
      <c r="L110" s="1528"/>
      <c r="M110" s="1534"/>
      <c r="N110" s="1534"/>
      <c r="O110" s="1534"/>
      <c r="P110" s="1534"/>
      <c r="Q110" s="1534"/>
      <c r="R110" s="1509"/>
      <c r="S110" s="666"/>
      <c r="T110" s="549"/>
      <c r="U110" s="549"/>
      <c r="V110" s="19"/>
      <c r="W110" s="19"/>
      <c r="AD110" s="549"/>
      <c r="AE110" s="549"/>
      <c r="AF110" s="549"/>
    </row>
    <row r="111" spans="2:32" ht="15" customHeight="1">
      <c r="C111" s="773" t="str">
        <f>IF(Indice_index!$Z$1=1,"Despesa primária","Primary expenditure")</f>
        <v>Despesa primária</v>
      </c>
      <c r="D111" s="777"/>
      <c r="E111" s="773"/>
      <c r="F111" s="777"/>
      <c r="G111" s="1541">
        <f t="shared" si="71"/>
        <v>3632.5737970899863</v>
      </c>
      <c r="H111" s="1541">
        <f t="shared" si="71"/>
        <v>4261.5424141899421</v>
      </c>
      <c r="I111" s="1541">
        <f t="shared" si="71"/>
        <v>573.95084469192443</v>
      </c>
      <c r="J111" s="1541">
        <f t="shared" si="71"/>
        <v>218.27097813000728</v>
      </c>
      <c r="K111" s="1541">
        <f t="shared" si="71"/>
        <v>5494.6869708319136</v>
      </c>
      <c r="L111" s="1541"/>
      <c r="M111" s="1505">
        <f>IF(IFERROR((M53-G53)/G53*100,"")&gt;500,"-",IFERROR((M53-G53)/G53*100,""))</f>
        <v>6.8328893699590276</v>
      </c>
      <c r="N111" s="1505">
        <f>IF(IFERROR((N53-H53)/H53*100,"")&gt;500,"-",IFERROR((N53-H53)/H53*100,""))</f>
        <v>11.657344309305758</v>
      </c>
      <c r="O111" s="1505">
        <f>IF(IFERROR((O53-I53)/I53*100,"")&gt;500,"-",IFERROR((O53-I53)/I53*100,""))</f>
        <v>4.3788762450853991</v>
      </c>
      <c r="P111" s="1505">
        <f>IF(IFERROR((P53-J53)/J53*100,"")&gt;500,"-",IFERROR((P53-J53)/J53*100,""))</f>
        <v>0.69887483031334618</v>
      </c>
      <c r="Q111" s="1505">
        <f>IF(IFERROR((Q53-K53)/K53*100,"")&gt;500,"-",IFERROR((Q53-K53)/K53*100,""))</f>
        <v>5.8679017162517635</v>
      </c>
      <c r="R111" s="1505"/>
      <c r="S111" s="666"/>
      <c r="T111" s="549"/>
      <c r="U111" s="549"/>
      <c r="V111" s="19"/>
      <c r="W111" s="19"/>
      <c r="AD111" s="549"/>
      <c r="AE111" s="549"/>
      <c r="AF111" s="549"/>
    </row>
    <row r="112" spans="2:32" ht="15" customHeight="1">
      <c r="C112" s="773" t="str">
        <f>IF(Indice_index!$Z$1=1,"Saldo corrente","Current balance")</f>
        <v>Saldo corrente</v>
      </c>
      <c r="D112" s="777"/>
      <c r="E112" s="773"/>
      <c r="F112" s="777"/>
      <c r="G112" s="1541">
        <f t="shared" si="71"/>
        <v>2916.5063531900014</v>
      </c>
      <c r="H112" s="1541">
        <f t="shared" si="71"/>
        <v>-68.483516189982765</v>
      </c>
      <c r="I112" s="1541">
        <f t="shared" si="71"/>
        <v>622.125527940756</v>
      </c>
      <c r="J112" s="1541">
        <f t="shared" si="71"/>
        <v>1746.3626745599904</v>
      </c>
      <c r="K112" s="1541">
        <f t="shared" si="71"/>
        <v>5216.5110395007214</v>
      </c>
      <c r="L112" s="1541"/>
      <c r="M112" s="1541"/>
      <c r="N112" s="1541"/>
      <c r="O112" s="1541"/>
      <c r="P112" s="1541"/>
      <c r="Q112" s="1541"/>
      <c r="R112" s="777"/>
      <c r="S112" s="666"/>
      <c r="T112" s="549"/>
      <c r="U112" s="549"/>
      <c r="V112" s="19"/>
      <c r="W112" s="19"/>
      <c r="AD112" s="549"/>
      <c r="AE112" s="549"/>
      <c r="AF112" s="549"/>
    </row>
    <row r="113" spans="2:32" ht="15" customHeight="1">
      <c r="B113" s="20"/>
      <c r="C113" s="773" t="str">
        <f>IF(Indice_index!$Z$1=1,"Saldo de capital","Capital balance")</f>
        <v>Saldo de capital</v>
      </c>
      <c r="D113" s="179"/>
      <c r="E113" s="773"/>
      <c r="F113" s="179"/>
      <c r="G113" s="1505">
        <f t="shared" si="71"/>
        <v>520.82727331999786</v>
      </c>
      <c r="H113" s="1505">
        <f t="shared" si="71"/>
        <v>-542.03403130000515</v>
      </c>
      <c r="I113" s="1505">
        <f t="shared" si="71"/>
        <v>-168.44531733409735</v>
      </c>
      <c r="J113" s="1505">
        <f t="shared" si="71"/>
        <v>-8.7763576100000051</v>
      </c>
      <c r="K113" s="1505">
        <f t="shared" si="71"/>
        <v>-198.42843292410271</v>
      </c>
      <c r="L113" s="1505"/>
      <c r="M113" s="1505"/>
      <c r="N113" s="1505"/>
      <c r="O113" s="1505"/>
      <c r="P113" s="1505"/>
      <c r="Q113" s="1505"/>
      <c r="R113" s="179"/>
      <c r="S113" s="666"/>
      <c r="T113" s="549"/>
      <c r="U113" s="549"/>
      <c r="V113" s="19"/>
      <c r="W113" s="19"/>
      <c r="AD113" s="549"/>
      <c r="AE113" s="549"/>
      <c r="AF113" s="549"/>
    </row>
    <row r="114" spans="2:32" ht="15" customHeight="1">
      <c r="C114" s="1542" t="str">
        <f>IF(Indice_index!$Z$1=1,"Saldo primário","Primary balance")</f>
        <v>Saldo primário</v>
      </c>
      <c r="D114" s="1516"/>
      <c r="E114" s="1542"/>
      <c r="F114" s="1516"/>
      <c r="G114" s="1516">
        <f t="shared" si="71"/>
        <v>3172.5830951200114</v>
      </c>
      <c r="H114" s="1516">
        <f t="shared" si="71"/>
        <v>-921.58115692999127</v>
      </c>
      <c r="I114" s="1516">
        <f t="shared" si="71"/>
        <v>472.45798926036332</v>
      </c>
      <c r="J114" s="1516">
        <f t="shared" si="71"/>
        <v>1737.9745637199958</v>
      </c>
      <c r="K114" s="1516">
        <f t="shared" si="71"/>
        <v>4637.1710405703197</v>
      </c>
      <c r="L114" s="1516"/>
      <c r="M114" s="1516"/>
      <c r="N114" s="1516"/>
      <c r="O114" s="1516"/>
      <c r="P114" s="1516"/>
      <c r="Q114" s="1516"/>
      <c r="R114" s="1516"/>
      <c r="S114" s="666"/>
      <c r="T114" s="549"/>
      <c r="U114" s="549"/>
      <c r="V114" s="19"/>
      <c r="W114" s="19"/>
      <c r="AD114" s="549"/>
      <c r="AE114" s="549"/>
      <c r="AF114" s="549"/>
    </row>
    <row r="115" spans="2:32" ht="4.5" customHeight="1">
      <c r="C115" s="1674"/>
      <c r="D115" s="1674"/>
      <c r="E115" s="1674"/>
      <c r="F115" s="1674"/>
      <c r="G115" s="1674"/>
      <c r="H115" s="1674"/>
      <c r="I115" s="1674"/>
      <c r="J115" s="1674"/>
      <c r="K115" s="1674"/>
      <c r="L115" s="1674"/>
      <c r="M115" s="1674"/>
      <c r="N115" s="1674"/>
      <c r="O115" s="1674"/>
      <c r="P115" s="1674"/>
      <c r="Q115" s="1674"/>
      <c r="R115" s="1517"/>
      <c r="S115" s="666"/>
      <c r="X115" s="17"/>
      <c r="Y115" s="17"/>
      <c r="Z115" s="17"/>
      <c r="AA115" s="17"/>
      <c r="AB115" s="17"/>
      <c r="AC115" s="17"/>
      <c r="AD115" s="529"/>
      <c r="AE115" s="529"/>
    </row>
    <row r="116" spans="2:32" ht="15" customHeight="1">
      <c r="C116" s="1543" t="str">
        <f>IF(Indice_index!$Z$1=1,"Fonte: Direção-Geral do Orçamento","Source: Budget General Directorate")</f>
        <v>Fonte: Direção-Geral do Orçamento</v>
      </c>
      <c r="D116" s="1544"/>
      <c r="E116" s="1543"/>
      <c r="F116" s="1544"/>
      <c r="G116" s="674"/>
      <c r="H116" s="674"/>
      <c r="I116" s="674"/>
      <c r="J116" s="674"/>
      <c r="K116" s="674"/>
      <c r="L116" s="676"/>
      <c r="M116" s="674"/>
      <c r="N116" s="674"/>
      <c r="O116" s="674"/>
      <c r="P116" s="674"/>
      <c r="Q116" s="674"/>
      <c r="R116" s="1544"/>
      <c r="S116" s="666"/>
      <c r="V116" s="19"/>
      <c r="W116" s="19"/>
      <c r="AD116" s="17"/>
      <c r="AE116" s="17"/>
    </row>
    <row r="117" spans="2:32">
      <c r="C117" s="675"/>
      <c r="D117" s="674"/>
      <c r="E117" s="675"/>
      <c r="F117" s="674"/>
      <c r="G117" s="677"/>
      <c r="H117" s="677"/>
      <c r="I117" s="677"/>
      <c r="J117" s="677"/>
      <c r="K117" s="677"/>
      <c r="L117" s="676"/>
      <c r="M117" s="678"/>
      <c r="N117" s="678"/>
      <c r="O117" s="678"/>
      <c r="P117" s="678"/>
      <c r="Q117" s="678"/>
      <c r="R117" s="674"/>
      <c r="S117" s="666"/>
      <c r="V117" s="19"/>
      <c r="W117" s="19"/>
      <c r="AD117" s="17"/>
      <c r="AE117" s="17"/>
    </row>
    <row r="118" spans="2:32">
      <c r="C118" s="674"/>
      <c r="D118" s="674"/>
      <c r="E118" s="674"/>
      <c r="F118" s="674"/>
      <c r="G118" s="677"/>
      <c r="H118" s="677"/>
      <c r="I118" s="677"/>
      <c r="J118" s="677"/>
      <c r="K118" s="677"/>
      <c r="L118" s="676"/>
      <c r="M118" s="678"/>
      <c r="N118" s="678"/>
      <c r="O118" s="678"/>
      <c r="P118" s="678"/>
      <c r="Q118" s="678"/>
      <c r="R118" s="674"/>
      <c r="S118" s="666"/>
      <c r="V118" s="19"/>
      <c r="W118" s="19"/>
      <c r="AD118" s="17"/>
      <c r="AE118" s="17"/>
    </row>
    <row r="119" spans="2:32">
      <c r="G119" s="550"/>
      <c r="H119" s="550"/>
      <c r="I119" s="550"/>
      <c r="J119" s="550"/>
      <c r="K119" s="550"/>
      <c r="L119" s="635"/>
      <c r="M119" s="634"/>
      <c r="N119" s="634"/>
      <c r="O119" s="634"/>
      <c r="P119" s="634"/>
      <c r="Q119" s="634"/>
      <c r="S119" s="633"/>
      <c r="V119" s="19"/>
      <c r="W119" s="19"/>
      <c r="AD119" s="17"/>
      <c r="AE119" s="17"/>
    </row>
    <row r="120" spans="2:32">
      <c r="G120" s="550"/>
      <c r="H120" s="550"/>
      <c r="I120" s="550"/>
      <c r="J120" s="550"/>
      <c r="K120" s="550"/>
      <c r="L120" s="635"/>
      <c r="M120" s="634"/>
      <c r="N120" s="634"/>
      <c r="O120" s="634"/>
      <c r="P120" s="634"/>
      <c r="Q120" s="634"/>
      <c r="S120" s="633"/>
      <c r="V120" s="19"/>
      <c r="W120" s="19"/>
      <c r="AD120" s="17"/>
      <c r="AE120" s="17"/>
    </row>
    <row r="121" spans="2:32">
      <c r="G121" s="550"/>
      <c r="H121" s="550"/>
      <c r="I121" s="550"/>
      <c r="J121" s="550"/>
      <c r="K121" s="550"/>
      <c r="L121" s="635"/>
      <c r="M121" s="634"/>
      <c r="N121" s="634"/>
      <c r="O121" s="634"/>
      <c r="P121" s="634"/>
      <c r="Q121" s="634"/>
      <c r="S121" s="633"/>
      <c r="V121" s="19"/>
      <c r="W121" s="19"/>
      <c r="AD121" s="17"/>
      <c r="AE121" s="17"/>
    </row>
    <row r="122" spans="2:32">
      <c r="G122" s="550"/>
      <c r="H122" s="550"/>
      <c r="I122" s="550"/>
      <c r="J122" s="550"/>
      <c r="K122" s="550"/>
      <c r="L122" s="635"/>
      <c r="M122" s="634"/>
      <c r="N122" s="634"/>
      <c r="O122" s="634"/>
      <c r="P122" s="634"/>
      <c r="Q122" s="634"/>
      <c r="S122" s="633"/>
      <c r="V122" s="19"/>
      <c r="W122" s="19"/>
      <c r="AD122" s="17"/>
      <c r="AE122" s="17"/>
    </row>
    <row r="123" spans="2:32">
      <c r="G123" s="550"/>
      <c r="H123" s="550"/>
      <c r="I123" s="550"/>
      <c r="J123" s="550"/>
      <c r="K123" s="550"/>
      <c r="L123" s="635"/>
      <c r="M123" s="634"/>
      <c r="N123" s="634"/>
      <c r="O123" s="634"/>
      <c r="P123" s="634"/>
      <c r="Q123" s="634"/>
      <c r="S123" s="633"/>
      <c r="V123" s="19"/>
      <c r="W123" s="19"/>
      <c r="AD123" s="17"/>
      <c r="AE123" s="17"/>
    </row>
    <row r="124" spans="2:32">
      <c r="G124" s="550"/>
      <c r="H124" s="550"/>
      <c r="I124" s="550"/>
      <c r="J124" s="550"/>
      <c r="K124" s="550"/>
      <c r="L124" s="635"/>
      <c r="M124" s="634"/>
      <c r="N124" s="634"/>
      <c r="O124" s="634"/>
      <c r="P124" s="634"/>
      <c r="Q124" s="634"/>
      <c r="S124" s="633"/>
      <c r="V124" s="19"/>
      <c r="W124" s="19"/>
      <c r="AD124" s="17"/>
      <c r="AE124" s="17"/>
    </row>
    <row r="125" spans="2:32">
      <c r="G125" s="550"/>
      <c r="H125" s="550"/>
      <c r="I125" s="550"/>
      <c r="J125" s="550"/>
      <c r="K125" s="550"/>
      <c r="M125" s="634"/>
      <c r="N125" s="634"/>
      <c r="O125" s="634"/>
      <c r="P125" s="634"/>
      <c r="Q125" s="634"/>
      <c r="S125" s="633"/>
      <c r="V125" s="19"/>
      <c r="W125" s="19"/>
      <c r="AD125" s="17"/>
      <c r="AE125" s="17"/>
    </row>
    <row r="126" spans="2:32">
      <c r="G126" s="550"/>
      <c r="H126" s="550"/>
      <c r="I126" s="550"/>
      <c r="J126" s="550"/>
      <c r="K126" s="550"/>
      <c r="M126" s="634"/>
      <c r="N126" s="634"/>
      <c r="O126" s="634"/>
      <c r="P126" s="634"/>
      <c r="Q126" s="634"/>
      <c r="S126" s="633"/>
      <c r="V126" s="19"/>
      <c r="W126" s="19"/>
      <c r="AD126" s="17"/>
      <c r="AE126" s="17"/>
    </row>
    <row r="127" spans="2:32">
      <c r="G127" s="550"/>
      <c r="H127" s="550"/>
      <c r="I127" s="550"/>
      <c r="J127" s="550"/>
      <c r="K127" s="550"/>
      <c r="M127" s="634"/>
      <c r="N127" s="634"/>
      <c r="O127" s="634"/>
      <c r="P127" s="634"/>
      <c r="Q127" s="634"/>
      <c r="S127" s="633"/>
      <c r="V127" s="19"/>
      <c r="W127" s="19"/>
      <c r="AD127" s="17"/>
      <c r="AE127" s="17"/>
    </row>
    <row r="128" spans="2:32">
      <c r="G128" s="550"/>
      <c r="H128" s="550"/>
      <c r="I128" s="550"/>
      <c r="J128" s="550"/>
      <c r="K128" s="550"/>
      <c r="M128" s="634"/>
      <c r="N128" s="634"/>
      <c r="O128" s="634"/>
      <c r="P128" s="634"/>
      <c r="Q128" s="634"/>
      <c r="S128" s="633"/>
      <c r="V128" s="19"/>
      <c r="W128" s="19"/>
      <c r="AD128" s="17"/>
      <c r="AE128" s="17"/>
    </row>
    <row r="129" spans="7:31">
      <c r="G129" s="550"/>
      <c r="H129" s="550"/>
      <c r="I129" s="550"/>
      <c r="J129" s="550"/>
      <c r="K129" s="550"/>
      <c r="M129" s="634"/>
      <c r="N129" s="634"/>
      <c r="O129" s="634"/>
      <c r="P129" s="634"/>
      <c r="Q129" s="634"/>
      <c r="S129" s="633"/>
      <c r="V129" s="19"/>
      <c r="W129" s="19"/>
      <c r="AD129" s="17"/>
      <c r="AE129" s="17"/>
    </row>
    <row r="130" spans="7:31">
      <c r="G130" s="550"/>
      <c r="H130" s="550"/>
      <c r="I130" s="550"/>
      <c r="J130" s="550"/>
      <c r="K130" s="550"/>
      <c r="M130" s="634"/>
      <c r="N130" s="634"/>
      <c r="O130" s="634"/>
      <c r="P130" s="634"/>
      <c r="Q130" s="634"/>
      <c r="S130" s="633"/>
      <c r="V130" s="19"/>
      <c r="W130" s="19"/>
      <c r="AD130" s="17"/>
      <c r="AE130" s="17"/>
    </row>
    <row r="131" spans="7:31">
      <c r="G131" s="550"/>
      <c r="H131" s="550"/>
      <c r="I131" s="550"/>
      <c r="J131" s="550"/>
      <c r="K131" s="550"/>
      <c r="M131" s="634"/>
      <c r="N131" s="634"/>
      <c r="O131" s="634"/>
      <c r="P131" s="634"/>
      <c r="Q131" s="634"/>
      <c r="S131" s="633"/>
      <c r="V131" s="19"/>
      <c r="W131" s="19"/>
      <c r="AD131" s="17"/>
      <c r="AE131" s="17"/>
    </row>
    <row r="132" spans="7:31">
      <c r="G132" s="550"/>
      <c r="H132" s="550"/>
      <c r="I132" s="550"/>
      <c r="J132" s="550"/>
      <c r="K132" s="550"/>
      <c r="M132" s="634"/>
      <c r="N132" s="634"/>
      <c r="O132" s="634"/>
      <c r="P132" s="634"/>
      <c r="Q132" s="634"/>
      <c r="S132" s="633"/>
      <c r="V132" s="19"/>
      <c r="W132" s="19"/>
      <c r="AD132" s="17"/>
      <c r="AE132" s="17"/>
    </row>
    <row r="133" spans="7:31">
      <c r="G133" s="550"/>
      <c r="H133" s="550"/>
      <c r="I133" s="550"/>
      <c r="J133" s="550"/>
      <c r="K133" s="550"/>
      <c r="M133" s="634"/>
      <c r="N133" s="634"/>
      <c r="O133" s="634"/>
      <c r="P133" s="634"/>
      <c r="Q133" s="634"/>
      <c r="S133" s="633"/>
      <c r="V133" s="19"/>
      <c r="W133" s="19"/>
      <c r="AD133" s="17"/>
      <c r="AE133" s="17"/>
    </row>
    <row r="134" spans="7:31">
      <c r="G134" s="550"/>
      <c r="H134" s="550"/>
      <c r="I134" s="550"/>
      <c r="J134" s="550"/>
      <c r="K134" s="550"/>
      <c r="M134" s="634"/>
      <c r="N134" s="634"/>
      <c r="O134" s="634"/>
      <c r="P134" s="634"/>
      <c r="Q134" s="634"/>
      <c r="S134" s="633"/>
      <c r="V134" s="19"/>
      <c r="W134" s="19"/>
      <c r="AD134" s="17"/>
      <c r="AE134" s="17"/>
    </row>
    <row r="135" spans="7:31">
      <c r="G135" s="550"/>
      <c r="H135" s="550"/>
      <c r="I135" s="550"/>
      <c r="J135" s="550"/>
      <c r="K135" s="550"/>
      <c r="M135" s="634"/>
      <c r="N135" s="634"/>
      <c r="O135" s="634"/>
      <c r="P135" s="634"/>
      <c r="Q135" s="634"/>
      <c r="S135" s="633"/>
      <c r="V135" s="19"/>
      <c r="W135" s="19"/>
      <c r="AD135" s="17"/>
      <c r="AE135" s="17"/>
    </row>
    <row r="136" spans="7:31">
      <c r="G136" s="550"/>
      <c r="H136" s="550"/>
      <c r="I136" s="550"/>
      <c r="J136" s="550"/>
      <c r="K136" s="550"/>
      <c r="M136" s="634"/>
      <c r="N136" s="634"/>
      <c r="O136" s="634"/>
      <c r="P136" s="634"/>
      <c r="Q136" s="634"/>
      <c r="S136" s="633"/>
      <c r="V136" s="19"/>
      <c r="W136" s="19"/>
      <c r="AD136" s="17"/>
      <c r="AE136" s="17"/>
    </row>
    <row r="137" spans="7:31">
      <c r="G137" s="550"/>
      <c r="H137" s="550"/>
      <c r="I137" s="550"/>
      <c r="J137" s="550"/>
      <c r="K137" s="550"/>
      <c r="M137" s="634"/>
      <c r="N137" s="634"/>
      <c r="O137" s="634"/>
      <c r="P137" s="634"/>
      <c r="Q137" s="634"/>
      <c r="S137" s="633"/>
      <c r="V137" s="19"/>
      <c r="W137" s="19"/>
      <c r="AD137" s="17"/>
      <c r="AE137" s="17"/>
    </row>
    <row r="138" spans="7:31">
      <c r="G138" s="550"/>
      <c r="H138" s="550"/>
      <c r="I138" s="550"/>
      <c r="J138" s="550"/>
      <c r="K138" s="550"/>
      <c r="M138" s="634"/>
      <c r="N138" s="634"/>
      <c r="O138" s="634"/>
      <c r="P138" s="634"/>
      <c r="Q138" s="634"/>
      <c r="S138" s="633"/>
      <c r="V138" s="19"/>
      <c r="W138" s="19"/>
      <c r="AD138" s="17"/>
      <c r="AE138" s="17"/>
    </row>
    <row r="139" spans="7:31">
      <c r="G139" s="550"/>
      <c r="H139" s="550"/>
      <c r="I139" s="550"/>
      <c r="J139" s="550"/>
      <c r="K139" s="550"/>
      <c r="M139" s="634"/>
      <c r="N139" s="634"/>
      <c r="O139" s="634"/>
      <c r="P139" s="634"/>
      <c r="Q139" s="634"/>
      <c r="S139" s="633"/>
      <c r="V139" s="19"/>
      <c r="W139" s="19"/>
      <c r="AD139" s="17"/>
      <c r="AE139" s="17"/>
    </row>
    <row r="140" spans="7:31">
      <c r="G140" s="550"/>
      <c r="H140" s="550"/>
      <c r="I140" s="550"/>
      <c r="J140" s="550"/>
      <c r="K140" s="550"/>
      <c r="M140" s="634"/>
      <c r="N140" s="634"/>
      <c r="O140" s="634"/>
      <c r="P140" s="634"/>
      <c r="Q140" s="634"/>
      <c r="S140" s="633"/>
      <c r="V140" s="19"/>
      <c r="W140" s="19"/>
      <c r="AD140" s="17"/>
      <c r="AE140" s="17"/>
    </row>
    <row r="141" spans="7:31">
      <c r="G141" s="550"/>
      <c r="H141" s="550"/>
      <c r="I141" s="550"/>
      <c r="J141" s="550"/>
      <c r="K141" s="550"/>
      <c r="M141" s="634"/>
      <c r="N141" s="634"/>
      <c r="O141" s="634"/>
      <c r="P141" s="634"/>
      <c r="Q141" s="634"/>
      <c r="S141" s="633"/>
      <c r="V141" s="19"/>
      <c r="W141" s="19"/>
      <c r="AD141" s="17"/>
      <c r="AE141" s="17"/>
    </row>
    <row r="142" spans="7:31">
      <c r="G142" s="550"/>
      <c r="H142" s="550"/>
      <c r="I142" s="550"/>
      <c r="J142" s="550"/>
      <c r="K142" s="550"/>
      <c r="M142" s="634"/>
      <c r="N142" s="634"/>
      <c r="O142" s="634"/>
      <c r="P142" s="634"/>
      <c r="Q142" s="634"/>
      <c r="S142" s="633"/>
      <c r="V142" s="19"/>
      <c r="W142" s="19"/>
      <c r="AD142" s="17"/>
      <c r="AE142" s="17"/>
    </row>
    <row r="143" spans="7:31">
      <c r="G143" s="550"/>
      <c r="H143" s="550"/>
      <c r="I143" s="550"/>
      <c r="J143" s="550"/>
      <c r="K143" s="550"/>
      <c r="M143" s="634"/>
      <c r="N143" s="634"/>
      <c r="O143" s="634"/>
      <c r="P143" s="634"/>
      <c r="Q143" s="634"/>
      <c r="S143" s="633"/>
      <c r="V143" s="19"/>
      <c r="W143" s="19"/>
      <c r="AD143" s="17"/>
      <c r="AE143" s="17"/>
    </row>
    <row r="144" spans="7:31">
      <c r="G144" s="550"/>
      <c r="H144" s="550"/>
      <c r="I144" s="550"/>
      <c r="J144" s="550"/>
      <c r="K144" s="550"/>
      <c r="M144" s="634"/>
      <c r="N144" s="634"/>
      <c r="O144" s="634"/>
      <c r="P144" s="634"/>
      <c r="Q144" s="634"/>
      <c r="S144" s="633"/>
      <c r="V144" s="19"/>
      <c r="W144" s="19"/>
      <c r="AD144" s="17"/>
      <c r="AE144" s="17"/>
    </row>
    <row r="145" spans="7:31">
      <c r="G145" s="550"/>
      <c r="H145" s="550"/>
      <c r="I145" s="550"/>
      <c r="J145" s="550"/>
      <c r="K145" s="550"/>
      <c r="M145" s="634"/>
      <c r="N145" s="634"/>
      <c r="O145" s="634"/>
      <c r="P145" s="634"/>
      <c r="Q145" s="634"/>
      <c r="S145" s="633"/>
      <c r="V145" s="19"/>
      <c r="W145" s="19"/>
      <c r="AD145" s="17"/>
      <c r="AE145" s="17"/>
    </row>
    <row r="146" spans="7:31">
      <c r="G146" s="550"/>
      <c r="H146" s="550"/>
      <c r="I146" s="550"/>
      <c r="J146" s="550"/>
      <c r="K146" s="550"/>
      <c r="M146" s="634"/>
      <c r="N146" s="634"/>
      <c r="O146" s="634"/>
      <c r="P146" s="634"/>
      <c r="Q146" s="634"/>
      <c r="S146" s="633"/>
      <c r="V146" s="19"/>
      <c r="W146" s="19"/>
      <c r="AD146" s="17"/>
      <c r="AE146" s="17"/>
    </row>
    <row r="147" spans="7:31">
      <c r="G147" s="550"/>
      <c r="H147" s="550"/>
      <c r="I147" s="550"/>
      <c r="J147" s="550"/>
      <c r="K147" s="550"/>
      <c r="S147" s="633"/>
      <c r="V147" s="19"/>
      <c r="W147" s="19"/>
      <c r="AD147" s="17"/>
      <c r="AE147" s="17"/>
    </row>
    <row r="148" spans="7:31">
      <c r="G148" s="550"/>
      <c r="H148" s="550"/>
      <c r="I148" s="550"/>
      <c r="J148" s="550"/>
      <c r="K148" s="550"/>
      <c r="S148" s="633"/>
      <c r="V148" s="19"/>
      <c r="W148" s="19"/>
      <c r="AD148" s="17"/>
      <c r="AE148" s="17"/>
    </row>
    <row r="149" spans="7:31">
      <c r="G149" s="550"/>
      <c r="H149" s="550"/>
      <c r="I149" s="550"/>
      <c r="J149" s="550"/>
      <c r="K149" s="550"/>
      <c r="S149" s="633"/>
      <c r="V149" s="19"/>
      <c r="W149" s="19"/>
      <c r="AD149" s="17"/>
      <c r="AE149" s="17"/>
    </row>
    <row r="150" spans="7:31">
      <c r="G150" s="550"/>
      <c r="H150" s="550"/>
      <c r="I150" s="550"/>
      <c r="J150" s="550"/>
      <c r="K150" s="550"/>
      <c r="S150" s="633"/>
      <c r="V150" s="19"/>
      <c r="W150" s="19"/>
      <c r="AD150" s="17"/>
      <c r="AE150" s="17"/>
    </row>
    <row r="151" spans="7:31">
      <c r="G151" s="550"/>
      <c r="H151" s="550"/>
      <c r="I151" s="550"/>
      <c r="J151" s="550"/>
      <c r="K151" s="550"/>
      <c r="S151" s="633"/>
      <c r="V151" s="19"/>
      <c r="W151" s="19"/>
      <c r="AD151" s="17"/>
      <c r="AE151" s="17"/>
    </row>
    <row r="152" spans="7:31">
      <c r="G152" s="550"/>
      <c r="H152" s="550"/>
      <c r="I152" s="550"/>
      <c r="J152" s="550"/>
      <c r="K152" s="550"/>
      <c r="S152" s="633"/>
      <c r="V152" s="19"/>
      <c r="W152" s="19"/>
      <c r="AD152" s="17"/>
      <c r="AE152" s="17"/>
    </row>
    <row r="153" spans="7:31">
      <c r="G153" s="550"/>
      <c r="H153" s="550"/>
      <c r="I153" s="550"/>
      <c r="J153" s="550"/>
      <c r="K153" s="550"/>
      <c r="S153" s="633"/>
      <c r="V153" s="19"/>
      <c r="W153" s="19"/>
      <c r="AD153" s="17"/>
      <c r="AE153" s="17"/>
    </row>
    <row r="154" spans="7:31">
      <c r="G154" s="550"/>
      <c r="H154" s="550"/>
      <c r="I154" s="550"/>
      <c r="J154" s="550"/>
      <c r="K154" s="550"/>
      <c r="S154" s="633"/>
      <c r="V154" s="19"/>
      <c r="W154" s="19"/>
      <c r="AD154" s="17"/>
      <c r="AE154" s="17"/>
    </row>
    <row r="155" spans="7:31">
      <c r="G155" s="550"/>
      <c r="H155" s="550"/>
      <c r="I155" s="550"/>
      <c r="J155" s="550"/>
      <c r="K155" s="550"/>
      <c r="S155" s="633"/>
      <c r="V155" s="19"/>
      <c r="W155" s="19"/>
      <c r="AD155" s="17"/>
      <c r="AE155" s="17"/>
    </row>
    <row r="156" spans="7:31">
      <c r="G156" s="550"/>
      <c r="H156" s="550"/>
      <c r="I156" s="550"/>
      <c r="J156" s="550"/>
      <c r="K156" s="550"/>
      <c r="S156" s="633"/>
      <c r="V156" s="19"/>
      <c r="W156" s="19"/>
      <c r="AD156" s="17"/>
      <c r="AE156" s="17"/>
    </row>
    <row r="157" spans="7:31">
      <c r="G157" s="550"/>
      <c r="H157" s="550"/>
      <c r="I157" s="550"/>
      <c r="J157" s="550"/>
      <c r="K157" s="550"/>
      <c r="S157" s="633"/>
      <c r="V157" s="19"/>
      <c r="W157" s="19"/>
      <c r="AD157" s="17"/>
      <c r="AE157" s="17"/>
    </row>
    <row r="158" spans="7:31">
      <c r="G158" s="550"/>
      <c r="H158" s="550"/>
      <c r="I158" s="550"/>
      <c r="J158" s="550"/>
      <c r="K158" s="550"/>
      <c r="S158" s="633"/>
      <c r="V158" s="19"/>
      <c r="W158" s="19"/>
      <c r="AD158" s="17"/>
      <c r="AE158" s="17"/>
    </row>
    <row r="159" spans="7:31">
      <c r="G159" s="550"/>
      <c r="H159" s="550"/>
      <c r="I159" s="550"/>
      <c r="J159" s="550"/>
      <c r="K159" s="550"/>
      <c r="S159" s="633"/>
      <c r="V159" s="19"/>
      <c r="W159" s="19"/>
      <c r="AD159" s="17"/>
      <c r="AE159" s="17"/>
    </row>
    <row r="160" spans="7:31">
      <c r="G160" s="550"/>
      <c r="H160" s="550"/>
      <c r="I160" s="550"/>
      <c r="J160" s="550"/>
      <c r="K160" s="550"/>
      <c r="S160" s="633"/>
      <c r="V160" s="19"/>
      <c r="W160" s="19"/>
      <c r="AD160" s="17"/>
      <c r="AE160" s="17"/>
    </row>
    <row r="161" spans="7:31">
      <c r="S161" s="633"/>
      <c r="V161" s="19"/>
      <c r="W161" s="19"/>
      <c r="AD161" s="17"/>
      <c r="AE161" s="17"/>
    </row>
    <row r="162" spans="7:31">
      <c r="G162" s="550"/>
      <c r="H162" s="550"/>
      <c r="I162" s="550"/>
      <c r="J162" s="550"/>
      <c r="K162" s="550"/>
      <c r="S162" s="633"/>
      <c r="V162" s="19"/>
      <c r="W162" s="19"/>
      <c r="AD162" s="17"/>
      <c r="AE162" s="17"/>
    </row>
    <row r="163" spans="7:31">
      <c r="G163" s="550"/>
      <c r="H163" s="550"/>
      <c r="I163" s="550"/>
      <c r="J163" s="550"/>
      <c r="K163" s="550"/>
      <c r="S163" s="633"/>
      <c r="V163" s="19"/>
      <c r="W163" s="19"/>
      <c r="AD163" s="17"/>
      <c r="AE163" s="17"/>
    </row>
    <row r="164" spans="7:31">
      <c r="G164" s="550"/>
      <c r="H164" s="550"/>
      <c r="I164" s="550"/>
      <c r="J164" s="550"/>
      <c r="K164" s="550"/>
      <c r="S164" s="633"/>
      <c r="V164" s="19"/>
      <c r="W164" s="19"/>
      <c r="AD164" s="17"/>
      <c r="AE164" s="17"/>
    </row>
    <row r="165" spans="7:31">
      <c r="G165" s="550"/>
      <c r="H165" s="550"/>
      <c r="I165" s="550"/>
      <c r="J165" s="550"/>
      <c r="K165" s="550"/>
      <c r="S165" s="633"/>
      <c r="V165" s="19"/>
      <c r="W165" s="19"/>
      <c r="AD165" s="17"/>
      <c r="AE165" s="17"/>
    </row>
    <row r="166" spans="7:31">
      <c r="G166" s="550"/>
      <c r="H166" s="550"/>
      <c r="I166" s="550"/>
      <c r="J166" s="550"/>
      <c r="K166" s="550"/>
      <c r="S166" s="633"/>
      <c r="V166" s="19"/>
      <c r="W166" s="19"/>
      <c r="AD166" s="17"/>
      <c r="AE166" s="17"/>
    </row>
    <row r="167" spans="7:31">
      <c r="G167" s="550"/>
      <c r="H167" s="550"/>
      <c r="I167" s="550"/>
      <c r="J167" s="550"/>
      <c r="K167" s="550"/>
      <c r="S167" s="633"/>
      <c r="V167" s="19"/>
      <c r="W167" s="19"/>
      <c r="AD167" s="17"/>
      <c r="AE167" s="17"/>
    </row>
    <row r="168" spans="7:31">
      <c r="G168" s="550"/>
      <c r="H168" s="550"/>
      <c r="I168" s="550"/>
      <c r="J168" s="550"/>
      <c r="K168" s="550"/>
      <c r="S168" s="633"/>
      <c r="V168" s="19"/>
      <c r="W168" s="19"/>
      <c r="AD168" s="17"/>
      <c r="AE168" s="17"/>
    </row>
    <row r="169" spans="7:31">
      <c r="G169" s="550"/>
      <c r="H169" s="550"/>
      <c r="I169" s="550"/>
      <c r="J169" s="550"/>
      <c r="K169" s="550"/>
      <c r="S169" s="633"/>
      <c r="V169" s="19"/>
      <c r="W169" s="19"/>
      <c r="AD169" s="17"/>
      <c r="AE169" s="17"/>
    </row>
    <row r="170" spans="7:31">
      <c r="G170" s="550"/>
      <c r="H170" s="550"/>
      <c r="I170" s="550"/>
      <c r="J170" s="550"/>
      <c r="K170" s="550"/>
      <c r="S170" s="633"/>
      <c r="V170" s="19"/>
      <c r="W170" s="19"/>
      <c r="AD170" s="17"/>
      <c r="AE170" s="17"/>
    </row>
    <row r="171" spans="7:31">
      <c r="G171" s="550"/>
      <c r="H171" s="550"/>
      <c r="I171" s="550"/>
      <c r="J171" s="550"/>
      <c r="K171" s="550"/>
      <c r="S171" s="633"/>
      <c r="V171" s="19"/>
      <c r="W171" s="19"/>
      <c r="AD171" s="17"/>
      <c r="AE171" s="17"/>
    </row>
    <row r="172" spans="7:31">
      <c r="G172" s="550"/>
      <c r="H172" s="550"/>
      <c r="I172" s="550"/>
      <c r="J172" s="550"/>
      <c r="K172" s="550"/>
      <c r="S172" s="633"/>
      <c r="V172" s="19"/>
      <c r="W172" s="19"/>
      <c r="AD172" s="17"/>
      <c r="AE172" s="17"/>
    </row>
    <row r="173" spans="7:31">
      <c r="G173" s="550"/>
      <c r="H173" s="550"/>
      <c r="I173" s="550"/>
      <c r="J173" s="550"/>
      <c r="K173" s="550"/>
      <c r="S173" s="633"/>
      <c r="V173" s="19"/>
      <c r="W173" s="19"/>
      <c r="AD173" s="17"/>
      <c r="AE173" s="17"/>
    </row>
    <row r="174" spans="7:31">
      <c r="G174" s="550"/>
      <c r="H174" s="550"/>
      <c r="I174" s="550"/>
      <c r="J174" s="550"/>
      <c r="K174" s="550"/>
      <c r="S174" s="633"/>
      <c r="V174" s="19"/>
      <c r="W174" s="19"/>
      <c r="AD174" s="17"/>
      <c r="AE174" s="17"/>
    </row>
    <row r="175" spans="7:31">
      <c r="G175" s="550"/>
      <c r="H175" s="550"/>
      <c r="I175" s="550"/>
      <c r="J175" s="550"/>
      <c r="K175" s="550"/>
      <c r="S175" s="633"/>
      <c r="V175" s="19"/>
      <c r="W175" s="19"/>
      <c r="AD175" s="17"/>
      <c r="AE175" s="17"/>
    </row>
    <row r="176" spans="7:31">
      <c r="S176" s="633"/>
      <c r="V176" s="19"/>
      <c r="W176" s="19"/>
      <c r="AD176" s="17"/>
      <c r="AE176" s="17"/>
    </row>
    <row r="177" spans="19:31">
      <c r="S177" s="633"/>
      <c r="V177" s="19"/>
      <c r="W177" s="19"/>
      <c r="AD177" s="17"/>
      <c r="AE177" s="17"/>
    </row>
    <row r="178" spans="19:31">
      <c r="S178" s="633"/>
      <c r="V178" s="19"/>
      <c r="W178" s="19"/>
      <c r="AD178" s="17"/>
      <c r="AE178" s="17"/>
    </row>
    <row r="179" spans="19:31">
      <c r="S179" s="633"/>
      <c r="V179" s="19"/>
      <c r="W179" s="19"/>
      <c r="AD179" s="17"/>
      <c r="AE179" s="17"/>
    </row>
    <row r="180" spans="19:31">
      <c r="S180" s="633"/>
      <c r="V180" s="19"/>
      <c r="W180" s="19"/>
      <c r="AD180" s="17"/>
      <c r="AE180" s="17"/>
    </row>
    <row r="181" spans="19:31">
      <c r="S181" s="633"/>
      <c r="V181" s="19"/>
      <c r="W181" s="19"/>
      <c r="AD181" s="17"/>
      <c r="AE181" s="17"/>
    </row>
    <row r="182" spans="19:31">
      <c r="S182" s="633"/>
      <c r="V182" s="19"/>
      <c r="W182" s="19"/>
      <c r="AD182" s="17"/>
      <c r="AE182" s="17"/>
    </row>
    <row r="183" spans="19:31">
      <c r="S183" s="633"/>
      <c r="V183" s="19"/>
      <c r="W183" s="19"/>
      <c r="AD183" s="17"/>
      <c r="AE183" s="17"/>
    </row>
    <row r="184" spans="19:31">
      <c r="S184" s="633"/>
      <c r="V184" s="19"/>
      <c r="W184" s="19"/>
      <c r="AD184" s="17"/>
      <c r="AE184" s="17"/>
    </row>
    <row r="185" spans="19:31">
      <c r="S185" s="633"/>
      <c r="V185" s="19"/>
      <c r="W185" s="19"/>
      <c r="AD185" s="17"/>
      <c r="AE185" s="17"/>
    </row>
    <row r="186" spans="19:31">
      <c r="S186" s="633"/>
      <c r="V186" s="19"/>
      <c r="W186" s="19"/>
      <c r="AD186" s="17"/>
      <c r="AE186" s="17"/>
    </row>
    <row r="187" spans="19:31">
      <c r="S187" s="633"/>
      <c r="V187" s="19"/>
      <c r="W187" s="19"/>
      <c r="AD187" s="17"/>
      <c r="AE187" s="17"/>
    </row>
    <row r="188" spans="19:31">
      <c r="S188" s="633"/>
      <c r="V188" s="19"/>
      <c r="W188" s="19"/>
      <c r="AD188" s="17"/>
      <c r="AE188" s="17"/>
    </row>
    <row r="189" spans="19:31">
      <c r="S189" s="633"/>
      <c r="V189" s="19"/>
      <c r="W189" s="19"/>
      <c r="AD189" s="17"/>
      <c r="AE189" s="17"/>
    </row>
    <row r="190" spans="19:31">
      <c r="S190" s="633"/>
      <c r="V190" s="19"/>
      <c r="W190" s="19"/>
      <c r="AD190" s="17"/>
      <c r="AE190" s="17"/>
    </row>
    <row r="191" spans="19:31">
      <c r="S191" s="633"/>
      <c r="V191" s="19"/>
      <c r="W191" s="19"/>
      <c r="AD191" s="17"/>
      <c r="AE191" s="17"/>
    </row>
    <row r="192" spans="19:31">
      <c r="S192" s="633"/>
      <c r="V192" s="19"/>
      <c r="W192" s="19"/>
      <c r="AD192" s="17"/>
      <c r="AE192" s="17"/>
    </row>
    <row r="193" spans="19:31">
      <c r="S193" s="633"/>
      <c r="V193" s="19"/>
      <c r="W193" s="19"/>
      <c r="AD193" s="17"/>
      <c r="AE193" s="17"/>
    </row>
    <row r="194" spans="19:31">
      <c r="S194" s="633"/>
      <c r="V194" s="19"/>
      <c r="W194" s="19"/>
      <c r="AD194" s="17"/>
      <c r="AE194" s="17"/>
    </row>
    <row r="195" spans="19:31">
      <c r="S195" s="633"/>
      <c r="V195" s="19"/>
      <c r="W195" s="19"/>
      <c r="AD195" s="17"/>
      <c r="AE195" s="17"/>
    </row>
    <row r="196" spans="19:31">
      <c r="S196" s="633"/>
      <c r="V196" s="19"/>
      <c r="W196" s="19"/>
      <c r="AD196" s="17"/>
      <c r="AE196" s="17"/>
    </row>
    <row r="197" spans="19:31">
      <c r="S197" s="633"/>
      <c r="V197" s="19"/>
      <c r="W197" s="19"/>
      <c r="AD197" s="17"/>
      <c r="AE197" s="17"/>
    </row>
    <row r="198" spans="19:31">
      <c r="S198" s="633"/>
      <c r="V198" s="19"/>
      <c r="W198" s="19"/>
      <c r="AD198" s="17"/>
      <c r="AE198" s="17"/>
    </row>
    <row r="199" spans="19:31">
      <c r="S199" s="633"/>
      <c r="V199" s="19"/>
      <c r="W199" s="19"/>
      <c r="AD199" s="17"/>
      <c r="AE199" s="17"/>
    </row>
    <row r="200" spans="19:31">
      <c r="S200" s="633"/>
      <c r="V200" s="19"/>
      <c r="W200" s="19"/>
      <c r="AD200" s="17"/>
      <c r="AE200" s="17"/>
    </row>
    <row r="201" spans="19:31">
      <c r="S201" s="633"/>
    </row>
    <row r="202" spans="19:31">
      <c r="S202" s="633"/>
    </row>
    <row r="203" spans="19:31">
      <c r="S203" s="633"/>
    </row>
    <row r="204" spans="19:31">
      <c r="S204" s="633"/>
    </row>
    <row r="205" spans="19:31">
      <c r="S205" s="633"/>
    </row>
    <row r="206" spans="19:31">
      <c r="S206" s="633"/>
    </row>
    <row r="207" spans="19:31">
      <c r="S207" s="633"/>
    </row>
    <row r="208" spans="19:31">
      <c r="S208" s="633"/>
    </row>
    <row r="209" spans="3:19">
      <c r="S209" s="633"/>
    </row>
    <row r="210" spans="3:19">
      <c r="S210" s="633"/>
    </row>
    <row r="218" spans="3:19">
      <c r="C218" s="551" t="s">
        <v>3</v>
      </c>
    </row>
  </sheetData>
  <mergeCells count="13">
    <mergeCell ref="X8:Y8"/>
    <mergeCell ref="Z8:AA8"/>
    <mergeCell ref="AB8:AC8"/>
    <mergeCell ref="AD8:AE8"/>
    <mergeCell ref="G6:Q6"/>
    <mergeCell ref="G7:K7"/>
    <mergeCell ref="M7:Q7"/>
    <mergeCell ref="C57:Q57"/>
    <mergeCell ref="C115:Q115"/>
    <mergeCell ref="C60:Q60"/>
    <mergeCell ref="G65:K65"/>
    <mergeCell ref="M65:Q65"/>
    <mergeCell ref="C59:S59"/>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B2:T48"/>
  <sheetViews>
    <sheetView showGridLines="0" zoomScaleNormal="100" zoomScaleSheetLayoutView="100" workbookViewId="0">
      <selection activeCell="B2" sqref="B2"/>
    </sheetView>
  </sheetViews>
  <sheetFormatPr defaultColWidth="9.140625" defaultRowHeight="12.75"/>
  <cols>
    <col min="1" max="1" width="3.42578125" style="137" customWidth="1"/>
    <col min="2" max="2" width="4.42578125" style="137" customWidth="1"/>
    <col min="3" max="3" width="25.85546875" style="137" customWidth="1"/>
    <col min="4" max="10" width="9.42578125" style="137" customWidth="1"/>
    <col min="11" max="11" width="9.140625" style="137" customWidth="1"/>
    <col min="12" max="12" width="2.42578125" style="137" customWidth="1"/>
    <col min="13" max="13" width="9.5703125" style="205" bestFit="1" customWidth="1"/>
    <col min="14" max="20" width="7" style="205" customWidth="1"/>
    <col min="21" max="16384" width="9.140625" style="137"/>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1" customFormat="1">
      <c r="C5" s="760" t="str">
        <f>+'5 - Conta AC + SS'!C5</f>
        <v>Período: janeiro a dezembro</v>
      </c>
      <c r="D5" s="1234"/>
      <c r="E5" s="250"/>
      <c r="F5" s="250"/>
      <c r="G5" s="1487"/>
      <c r="H5" s="1487"/>
      <c r="I5" s="1487"/>
      <c r="J5" s="1487" t="str">
        <f>IF(Indice_index!$Z$1=1,"€ Milhões","€ Millions")</f>
        <v>€ Milhões</v>
      </c>
      <c r="K5" s="250"/>
      <c r="M5" s="552"/>
      <c r="N5" s="552"/>
      <c r="O5" s="552"/>
      <c r="P5" s="552"/>
      <c r="Q5" s="552"/>
      <c r="R5" s="552"/>
      <c r="S5" s="552"/>
      <c r="T5" s="552"/>
    </row>
    <row r="6" spans="2:20" ht="15" customHeight="1">
      <c r="C6" s="1680"/>
      <c r="D6" s="1683" t="str">
        <f>IF(Indice_index!$Z$1=1,"Execução Acumulada","Accumulated Execution")</f>
        <v>Execução Acumulada</v>
      </c>
      <c r="E6" s="1684"/>
      <c r="F6" s="1690" t="str">
        <f>IF(Indice_index!$Z$1=1,"Variação Homóloga Acumulada","YOY Change Rate")</f>
        <v>Variação Homóloga Acumulada</v>
      </c>
      <c r="G6" s="1691"/>
      <c r="H6" s="1691"/>
      <c r="I6" s="1692"/>
      <c r="J6" s="1687" t="str">
        <f>IF(Indice_index!$Z$1=1,"Contributo (em p.p.)","Contribution (p.p.)")</f>
        <v>Contributo (em p.p.)</v>
      </c>
      <c r="K6" s="96"/>
      <c r="L6" s="553"/>
      <c r="M6" s="206"/>
      <c r="N6" s="206"/>
      <c r="O6" s="206"/>
      <c r="P6" s="206"/>
      <c r="Q6" s="206"/>
      <c r="R6" s="206"/>
      <c r="S6" s="206"/>
      <c r="T6" s="206"/>
    </row>
    <row r="7" spans="2:20" ht="15.75" customHeight="1">
      <c r="C7" s="1681"/>
      <c r="D7" s="1685"/>
      <c r="E7" s="1686"/>
      <c r="F7" s="1690" t="str">
        <f>IF(Indice_index!$Z$1=1,"Absoluta","Absolute")</f>
        <v>Absoluta</v>
      </c>
      <c r="G7" s="1692"/>
      <c r="H7" s="1690" t="str">
        <f>IF(Indice_index!$Z$1=1,"Relativa (%)","Relative (%)")</f>
        <v>Relativa (%)</v>
      </c>
      <c r="I7" s="1692"/>
      <c r="J7" s="1688"/>
      <c r="K7" s="96"/>
      <c r="L7" s="553"/>
      <c r="M7" s="206"/>
      <c r="N7" s="206"/>
      <c r="O7" s="206"/>
      <c r="P7" s="206"/>
      <c r="Q7" s="206"/>
      <c r="R7" s="206"/>
      <c r="S7" s="206"/>
      <c r="T7" s="206"/>
    </row>
    <row r="8" spans="2:20" ht="21" customHeight="1">
      <c r="C8" s="1682"/>
      <c r="D8" s="1545" t="s">
        <v>67</v>
      </c>
      <c r="E8" s="1545" t="s">
        <v>73</v>
      </c>
      <c r="F8" s="1546" t="str">
        <f>IF(Indice_index!$Z$1=1,"novembro","November")</f>
        <v>novembro</v>
      </c>
      <c r="G8" s="1546" t="str">
        <f>IF(Indice_index!$Z$1=1,"dezembro","December")</f>
        <v>dezembro</v>
      </c>
      <c r="H8" s="1546" t="str">
        <f>IF(Indice_index!$Z$1=1,"novembro","November")</f>
        <v>novembro</v>
      </c>
      <c r="I8" s="1546" t="str">
        <f>IF(Indice_index!$Z$1=1,"dezembro","December")</f>
        <v>dezembro</v>
      </c>
      <c r="J8" s="1689"/>
      <c r="K8" s="96"/>
      <c r="L8" s="553"/>
      <c r="M8" s="1679"/>
      <c r="N8" s="1679"/>
      <c r="O8" s="1679"/>
      <c r="P8" s="1679"/>
      <c r="Q8" s="1679"/>
      <c r="R8" s="1679"/>
      <c r="S8" s="1679"/>
      <c r="T8" s="1679"/>
    </row>
    <row r="9" spans="2:20" s="251" customFormat="1" ht="15" customHeight="1">
      <c r="C9" s="318" t="str">
        <f>IF(Indice_index!$Z$1=1,"Receita corrente","Current revenue")</f>
        <v>Receita corrente</v>
      </c>
      <c r="D9" s="318">
        <f>'2 - Conta Consol AP'!K9</f>
        <v>89809.938200867211</v>
      </c>
      <c r="E9" s="318">
        <f>'2 - Conta Consol AP'!Q9</f>
        <v>99781.209300347764</v>
      </c>
      <c r="F9" s="318">
        <v>10326.310541047584</v>
      </c>
      <c r="G9" s="318">
        <f t="shared" ref="G9:G21" si="0">+E9-D9</f>
        <v>9971.2710994805529</v>
      </c>
      <c r="H9" s="1234">
        <v>13.044660916930523</v>
      </c>
      <c r="I9" s="1234">
        <f t="shared" ref="I9:I15" si="1">IFERROR(IF(ABS(+G9/D9*100)&gt;500,"-",+G9/D9*100),"-")</f>
        <v>11.102636633797694</v>
      </c>
      <c r="J9" s="318">
        <f t="shared" ref="J9:J21" si="2">+G9/$D$23*100</f>
        <v>10.8403289178523</v>
      </c>
      <c r="K9" s="684"/>
      <c r="L9" s="554"/>
      <c r="M9" s="555"/>
      <c r="N9" s="555"/>
      <c r="O9" s="555"/>
      <c r="P9" s="555"/>
      <c r="Q9" s="555"/>
      <c r="R9" s="555"/>
      <c r="S9" s="555"/>
      <c r="T9" s="555"/>
    </row>
    <row r="10" spans="2:20" ht="15" customHeight="1">
      <c r="C10" s="819" t="str">
        <f>IF(Indice_index!$Z$1=1,"Receita Fiscal","Tax")</f>
        <v>Receita Fiscal</v>
      </c>
      <c r="D10" s="179">
        <f>'2 - Conta Consol AP'!K10</f>
        <v>51434.887845366291</v>
      </c>
      <c r="E10" s="179">
        <f>'2 - Conta Consol AP'!Q10</f>
        <v>58542.564088040963</v>
      </c>
      <c r="F10" s="179">
        <v>7770.949222358824</v>
      </c>
      <c r="G10" s="179">
        <f t="shared" si="0"/>
        <v>7107.6762426746718</v>
      </c>
      <c r="H10" s="1547">
        <v>17.190954358706307</v>
      </c>
      <c r="I10" s="1547">
        <f t="shared" si="1"/>
        <v>13.818784370723566</v>
      </c>
      <c r="J10" s="179">
        <f t="shared" si="2"/>
        <v>7.7271540953501789</v>
      </c>
      <c r="K10" s="685"/>
      <c r="L10" s="208"/>
      <c r="M10" s="206"/>
      <c r="N10" s="206"/>
      <c r="O10" s="206"/>
      <c r="P10" s="206"/>
      <c r="Q10" s="206"/>
      <c r="R10" s="206"/>
      <c r="S10" s="206"/>
      <c r="T10" s="206"/>
    </row>
    <row r="11" spans="2:20" ht="15" customHeight="1">
      <c r="C11" s="930" t="str">
        <f>IF(Indice_index!$Z$1=1,"Impostos diretos","Direct taxes")</f>
        <v>Impostos diretos</v>
      </c>
      <c r="D11" s="179">
        <f>'2 - Conta Consol AP'!K11</f>
        <v>23919.110935378474</v>
      </c>
      <c r="E11" s="179">
        <f>'2 - Conta Consol AP'!Q11</f>
        <v>27875.110820196154</v>
      </c>
      <c r="F11" s="179">
        <v>4595.0056901269309</v>
      </c>
      <c r="G11" s="179">
        <f t="shared" si="0"/>
        <v>3955.9998848176801</v>
      </c>
      <c r="H11" s="1547">
        <v>23.172469250483488</v>
      </c>
      <c r="I11" s="1547">
        <f t="shared" si="1"/>
        <v>16.539075785490034</v>
      </c>
      <c r="J11" s="179">
        <f t="shared" si="2"/>
        <v>4.3007896909596113</v>
      </c>
      <c r="K11" s="685"/>
      <c r="L11" s="208"/>
      <c r="M11" s="206"/>
      <c r="N11" s="206"/>
      <c r="O11" s="206"/>
      <c r="P11" s="206"/>
      <c r="Q11" s="206"/>
      <c r="R11" s="206"/>
      <c r="S11" s="206"/>
      <c r="T11" s="206"/>
    </row>
    <row r="12" spans="2:20" ht="15" customHeight="1">
      <c r="C12" s="930" t="str">
        <f>IF(Indice_index!$Z$1=1,"Impostos indiretos","Indirect taxes")</f>
        <v>Impostos indiretos</v>
      </c>
      <c r="D12" s="179">
        <f>'2 - Conta Consol AP'!K12</f>
        <v>27515.776909987817</v>
      </c>
      <c r="E12" s="179">
        <f>'2 - Conta Consol AP'!Q12</f>
        <v>30667.453267844809</v>
      </c>
      <c r="F12" s="179">
        <v>3175.9435322318932</v>
      </c>
      <c r="G12" s="179">
        <f t="shared" si="0"/>
        <v>3151.6763578569917</v>
      </c>
      <c r="H12" s="1547">
        <v>12.516467594135802</v>
      </c>
      <c r="I12" s="1547">
        <f t="shared" si="1"/>
        <v>11.454070034682466</v>
      </c>
      <c r="J12" s="179">
        <f t="shared" si="2"/>
        <v>3.4263644043905672</v>
      </c>
      <c r="K12" s="685"/>
      <c r="L12" s="208"/>
      <c r="M12" s="206"/>
      <c r="N12" s="206"/>
      <c r="O12" s="206"/>
      <c r="P12" s="206"/>
      <c r="Q12" s="206"/>
      <c r="R12" s="206"/>
      <c r="S12" s="206"/>
      <c r="T12" s="206"/>
    </row>
    <row r="13" spans="2:20" ht="15" customHeight="1">
      <c r="C13" s="771" t="str">
        <f>IF(Indice_index!$Z$1=1,"Contribuições de Segurança Social","Social security contributions")</f>
        <v>Contribuições de Segurança Social</v>
      </c>
      <c r="D13" s="179">
        <f>'2 - Conta Consol AP'!K13</f>
        <v>24205.521009030002</v>
      </c>
      <c r="E13" s="179">
        <f>'2 - Conta Consol AP'!Q13</f>
        <v>26457.763606109998</v>
      </c>
      <c r="F13" s="179">
        <v>2011.3880707999997</v>
      </c>
      <c r="G13" s="179">
        <f t="shared" si="0"/>
        <v>2252.2425970799959</v>
      </c>
      <c r="H13" s="1547">
        <v>9.4267457944370605</v>
      </c>
      <c r="I13" s="1547">
        <f t="shared" si="1"/>
        <v>9.3046648169224877</v>
      </c>
      <c r="J13" s="179">
        <f t="shared" si="2"/>
        <v>2.4485394401138021</v>
      </c>
      <c r="K13" s="685"/>
      <c r="L13" s="208"/>
      <c r="M13" s="206"/>
      <c r="N13" s="206"/>
      <c r="O13" s="206"/>
      <c r="P13" s="206"/>
      <c r="Q13" s="206"/>
      <c r="R13" s="206"/>
      <c r="S13" s="206"/>
      <c r="T13" s="206"/>
    </row>
    <row r="14" spans="2:20" ht="15" customHeight="1">
      <c r="C14" s="931" t="str">
        <f>IF(Indice_index!$Z$1=1,"Transferências Correntes","Current transfers")</f>
        <v>Transferências Correntes</v>
      </c>
      <c r="D14" s="179">
        <f>'2 - Conta Consol AP'!K14</f>
        <v>3046.737254143351</v>
      </c>
      <c r="E14" s="179">
        <f>'2 - Conta Consol AP'!Q14</f>
        <v>2671.6038798062027</v>
      </c>
      <c r="F14" s="179">
        <v>-591.34664983620678</v>
      </c>
      <c r="G14" s="179">
        <f t="shared" si="0"/>
        <v>-375.13337433714833</v>
      </c>
      <c r="H14" s="1547">
        <v>-19.691568641342748</v>
      </c>
      <c r="I14" s="1547">
        <f t="shared" si="1"/>
        <v>-12.312626362085965</v>
      </c>
      <c r="J14" s="179">
        <f t="shared" si="2"/>
        <v>-0.40782856320999494</v>
      </c>
      <c r="K14" s="685"/>
      <c r="L14" s="208"/>
      <c r="M14" s="206"/>
      <c r="N14" s="206"/>
      <c r="O14" s="206"/>
      <c r="P14" s="206"/>
      <c r="Q14" s="206"/>
      <c r="R14" s="206"/>
      <c r="S14" s="206"/>
      <c r="T14" s="206"/>
    </row>
    <row r="15" spans="2:20" ht="15" customHeight="1">
      <c r="C15" s="771" t="str">
        <f>IF(Indice_index!$Z$1=1,"Outras receitas correntes","Other current revenue")</f>
        <v>Outras receitas correntes</v>
      </c>
      <c r="D15" s="179">
        <f>'2 - Conta Consol AP'!K17</f>
        <v>11082.828300947562</v>
      </c>
      <c r="E15" s="179">
        <f>'2 - Conta Consol AP'!Q17</f>
        <v>11866.186894420618</v>
      </c>
      <c r="F15" s="179">
        <v>1034.8305904583121</v>
      </c>
      <c r="G15" s="179">
        <f t="shared" si="0"/>
        <v>783.35859347305632</v>
      </c>
      <c r="H15" s="1547">
        <v>10.776304673968367</v>
      </c>
      <c r="I15" s="1547">
        <f t="shared" si="1"/>
        <v>7.0682191603210223</v>
      </c>
      <c r="J15" s="179">
        <f t="shared" si="2"/>
        <v>0.85163312973372629</v>
      </c>
      <c r="K15" s="685"/>
      <c r="L15" s="208"/>
      <c r="M15" s="206"/>
      <c r="N15" s="206"/>
      <c r="O15" s="206"/>
      <c r="P15" s="206"/>
      <c r="Q15" s="206"/>
      <c r="R15" s="206"/>
      <c r="S15" s="206"/>
      <c r="T15" s="206"/>
    </row>
    <row r="16" spans="2:20" ht="15" customHeight="1">
      <c r="C16" s="771" t="str">
        <f>IF(Indice_index!$Z$1=1,"Diferenças de consolidação","Consolidation differences")</f>
        <v>Diferenças de consolidação</v>
      </c>
      <c r="D16" s="179">
        <f>'2 - Conta Consol AP'!K18</f>
        <v>39.963791380003521</v>
      </c>
      <c r="E16" s="179">
        <f>'2 - Conta Consol AP'!Q18</f>
        <v>243.09083196997068</v>
      </c>
      <c r="F16" s="179">
        <v>100.48930726666282</v>
      </c>
      <c r="G16" s="179">
        <f t="shared" si="0"/>
        <v>203.12704058996715</v>
      </c>
      <c r="H16" s="1547" t="s">
        <v>2</v>
      </c>
      <c r="I16" s="1547" t="s">
        <v>2</v>
      </c>
      <c r="J16" s="179">
        <f t="shared" si="2"/>
        <v>0.22083081586457809</v>
      </c>
      <c r="K16" s="685"/>
      <c r="L16" s="208"/>
      <c r="M16" s="206"/>
      <c r="N16" s="206"/>
      <c r="O16" s="206"/>
      <c r="P16" s="206"/>
      <c r="Q16" s="206"/>
      <c r="R16" s="206"/>
      <c r="S16" s="206"/>
      <c r="T16" s="206"/>
    </row>
    <row r="17" spans="2:20" s="251" customFormat="1" ht="15" customHeight="1">
      <c r="C17" s="318" t="str">
        <f>IF(Indice_index!$Z$1=1,"Receita de capital","Capital revenue")</f>
        <v>Receita de capital</v>
      </c>
      <c r="D17" s="318">
        <f>'2 - Conta Consol AP'!K19</f>
        <v>2173.1665097237378</v>
      </c>
      <c r="E17" s="318">
        <f>'2 - Conta Consol AP'!Q19</f>
        <v>2333.7534216454214</v>
      </c>
      <c r="F17" s="318">
        <v>297.96493115581438</v>
      </c>
      <c r="G17" s="318">
        <f t="shared" si="0"/>
        <v>160.58691192168362</v>
      </c>
      <c r="H17" s="1234">
        <v>17.018439756994574</v>
      </c>
      <c r="I17" s="1234">
        <f>IFERROR(IF(ABS(+G17/D17*100)&gt;500,"-",+G17/D17*100),"-")</f>
        <v>7.3895355557498501</v>
      </c>
      <c r="J17" s="318">
        <f t="shared" si="2"/>
        <v>0.17458305242788094</v>
      </c>
      <c r="K17" s="684"/>
      <c r="L17" s="554"/>
      <c r="M17" s="555"/>
      <c r="N17" s="555"/>
      <c r="O17" s="555"/>
      <c r="P17" s="555"/>
      <c r="Q17" s="555"/>
      <c r="R17" s="555"/>
      <c r="S17" s="555"/>
      <c r="T17" s="555"/>
    </row>
    <row r="18" spans="2:20" s="251" customFormat="1" ht="15" customHeight="1">
      <c r="C18" s="771" t="str">
        <f>IF(Indice_index!$Z$1=1,"Venda de bens de investimento","Sale of investment goods")</f>
        <v>Venda de bens de investimento</v>
      </c>
      <c r="D18" s="179">
        <f>'2 - Conta Consol AP'!K20</f>
        <v>231.37944294518371</v>
      </c>
      <c r="E18" s="179">
        <f>'2 - Conta Consol AP'!Q20</f>
        <v>191.90716959628642</v>
      </c>
      <c r="F18" s="179">
        <v>-8.7190592602413801</v>
      </c>
      <c r="G18" s="179">
        <f t="shared" si="0"/>
        <v>-39.472273348897289</v>
      </c>
      <c r="H18" s="1547">
        <v>-4.7784375728138686</v>
      </c>
      <c r="I18" s="1547">
        <f>IFERROR(IF(ABS(+G18/D18*100)&gt;500,"-",+G18/D18*100),"-")</f>
        <v>-17.059542043347687</v>
      </c>
      <c r="J18" s="179">
        <f t="shared" si="2"/>
        <v>-4.2912525591618178E-2</v>
      </c>
      <c r="K18" s="684"/>
      <c r="L18" s="554"/>
      <c r="M18" s="555"/>
      <c r="N18" s="555"/>
      <c r="O18" s="555"/>
      <c r="P18" s="555"/>
      <c r="Q18" s="555"/>
      <c r="R18" s="555"/>
      <c r="S18" s="555"/>
      <c r="T18" s="555"/>
    </row>
    <row r="19" spans="2:20" s="251" customFormat="1" ht="15" customHeight="1">
      <c r="C19" s="931" t="str">
        <f>IF(Indice_index!$Z$1=1,"Transferências de Capital","Capital transfers")</f>
        <v>Transferências de Capital</v>
      </c>
      <c r="D19" s="179">
        <f>'2 - Conta Consol AP'!K21</f>
        <v>1887.5312482105023</v>
      </c>
      <c r="E19" s="179">
        <f>'2 - Conta Consol AP'!Q21</f>
        <v>2027.4251364632701</v>
      </c>
      <c r="F19" s="179">
        <v>278.48379751142375</v>
      </c>
      <c r="G19" s="179">
        <f t="shared" si="0"/>
        <v>139.89388825276774</v>
      </c>
      <c r="H19" s="1547">
        <v>18.189837173010449</v>
      </c>
      <c r="I19" s="1547">
        <f>IFERROR(IF(ABS(+G19/D19*100)&gt;500,"-",+G19/D19*100),"-")</f>
        <v>7.4114740291264525</v>
      </c>
      <c r="J19" s="179">
        <f t="shared" si="2"/>
        <v>0.15208650403019103</v>
      </c>
      <c r="K19" s="684"/>
      <c r="L19" s="554"/>
      <c r="M19" s="555"/>
      <c r="N19" s="555"/>
      <c r="O19" s="555"/>
      <c r="P19" s="555"/>
      <c r="Q19" s="555"/>
      <c r="R19" s="555"/>
      <c r="S19" s="555"/>
      <c r="T19" s="555"/>
    </row>
    <row r="20" spans="2:20" s="251" customFormat="1" ht="15" customHeight="1">
      <c r="C20" s="771" t="str">
        <f>IF(Indice_index!$Z$1=1,"Outras receitas de capital","Other capital revenue")</f>
        <v>Outras receitas de capital</v>
      </c>
      <c r="D20" s="179">
        <f>'2 - Conta Consol AP'!K24</f>
        <v>46.054821288051905</v>
      </c>
      <c r="E20" s="179">
        <f>'2 - Conta Consol AP'!Q24</f>
        <v>114.40481237586489</v>
      </c>
      <c r="F20" s="179">
        <v>34.009395214632356</v>
      </c>
      <c r="G20" s="179">
        <f t="shared" si="0"/>
        <v>68.349991087812981</v>
      </c>
      <c r="H20" s="1547">
        <v>107.71269094359428</v>
      </c>
      <c r="I20" s="1547">
        <f>IFERROR(IF(ABS(+G20/D20*100)&gt;500,"-",+G20/D20*100),"-")</f>
        <v>148.41006690768586</v>
      </c>
      <c r="J20" s="179">
        <f t="shared" si="2"/>
        <v>7.4307114662920434E-2</v>
      </c>
      <c r="K20" s="684"/>
      <c r="L20" s="554"/>
      <c r="M20" s="555"/>
      <c r="N20" s="555"/>
      <c r="O20" s="555"/>
      <c r="P20" s="555"/>
      <c r="Q20" s="555"/>
      <c r="R20" s="555"/>
      <c r="S20" s="555"/>
      <c r="T20" s="555"/>
    </row>
    <row r="21" spans="2:20" ht="15" customHeight="1">
      <c r="C21" s="1548" t="str">
        <f>IF(Indice_index!$Z$1=1,"Diferenças de consolidação","Consolidation differences")</f>
        <v>Diferenças de consolidação</v>
      </c>
      <c r="D21" s="179">
        <f>'2 - Conta Consol AP'!K25</f>
        <v>8.2009972800002089</v>
      </c>
      <c r="E21" s="179">
        <f>'2 - Conta Consol AP'!Q25</f>
        <v>1.6303209999989576E-2</v>
      </c>
      <c r="F21" s="179">
        <v>-5.8092023100001775</v>
      </c>
      <c r="G21" s="179">
        <f t="shared" si="0"/>
        <v>-8.1846940700002193</v>
      </c>
      <c r="H21" s="1547" t="s">
        <v>2</v>
      </c>
      <c r="I21" s="1549" t="s">
        <v>2</v>
      </c>
      <c r="J21" s="179">
        <f t="shared" si="2"/>
        <v>-8.8980406736127848E-3</v>
      </c>
      <c r="K21" s="685"/>
      <c r="L21" s="208"/>
      <c r="M21" s="206"/>
      <c r="N21" s="206"/>
      <c r="O21" s="206"/>
      <c r="P21" s="206"/>
      <c r="Q21" s="206"/>
      <c r="R21" s="206"/>
      <c r="S21" s="206"/>
      <c r="T21" s="206"/>
    </row>
    <row r="22" spans="2:20" s="537" customFormat="1" ht="4.5" customHeight="1">
      <c r="C22" s="666"/>
      <c r="D22" s="1550"/>
      <c r="E22" s="1550"/>
      <c r="F22" s="1550"/>
      <c r="G22" s="1550"/>
      <c r="H22" s="1551"/>
      <c r="I22" s="1551"/>
      <c r="J22" s="1550"/>
      <c r="K22" s="685"/>
      <c r="L22" s="208"/>
      <c r="M22" s="206"/>
      <c r="N22" s="206"/>
      <c r="O22" s="539"/>
      <c r="P22" s="539"/>
      <c r="Q22" s="539"/>
      <c r="R22" s="539"/>
      <c r="S22" s="206"/>
      <c r="T22" s="206"/>
    </row>
    <row r="23" spans="2:20" s="251" customFormat="1" ht="15" customHeight="1">
      <c r="C23" s="1509" t="str">
        <f>IF(Indice_index!$Z$1=1,"Receita efetiva","Effective revenue")</f>
        <v>Receita efetiva</v>
      </c>
      <c r="D23" s="1509">
        <f>'2 - Conta Consol AP'!K27</f>
        <v>91983.104710590953</v>
      </c>
      <c r="E23" s="1509">
        <f>'2 - Conta Consol AP'!Q27</f>
        <v>102114.96272199319</v>
      </c>
      <c r="F23" s="1509">
        <v>10624.275472203401</v>
      </c>
      <c r="G23" s="1509">
        <f>+E23-D23</f>
        <v>10131.858011402233</v>
      </c>
      <c r="H23" s="1552">
        <v>13.130648542863311</v>
      </c>
      <c r="I23" s="1552">
        <f>IFERROR(IF(ABS(+G23/D23*100)&gt;500,"-",+G23/D23*100),"-")</f>
        <v>11.014911970280178</v>
      </c>
      <c r="J23" s="1509"/>
      <c r="K23" s="684"/>
      <c r="L23" s="554"/>
      <c r="M23" s="555"/>
      <c r="N23" s="555"/>
      <c r="O23" s="555"/>
      <c r="P23" s="555"/>
      <c r="Q23" s="555"/>
      <c r="R23" s="555"/>
      <c r="S23" s="555"/>
      <c r="T23" s="555"/>
    </row>
    <row r="24" spans="2:20" s="537" customFormat="1" ht="4.5" customHeight="1">
      <c r="C24" s="666"/>
      <c r="D24" s="1550"/>
      <c r="E24" s="1550"/>
      <c r="F24" s="1550"/>
      <c r="G24" s="1550"/>
      <c r="H24" s="1551"/>
      <c r="I24" s="1551"/>
      <c r="J24" s="1550"/>
      <c r="K24" s="685"/>
      <c r="L24" s="208"/>
      <c r="M24" s="206"/>
      <c r="N24" s="206"/>
      <c r="O24" s="539"/>
      <c r="P24" s="539"/>
      <c r="Q24" s="539"/>
      <c r="R24" s="539"/>
      <c r="S24" s="206"/>
      <c r="T24" s="206"/>
    </row>
    <row r="25" spans="2:20" s="251" customFormat="1" ht="15" customHeight="1">
      <c r="C25" s="318" t="str">
        <f>IF(Indice_index!$Z$1=1,"Despesa corrente","Current expenditure")</f>
        <v>Despesa corrente</v>
      </c>
      <c r="D25" s="318">
        <f>'2 - Conta Consol AP'!K29</f>
        <v>92307.151513462988</v>
      </c>
      <c r="E25" s="318">
        <f>'2 - Conta Consol AP'!Q29</f>
        <v>97061.91157344282</v>
      </c>
      <c r="F25" s="318">
        <v>2254.5645611142245</v>
      </c>
      <c r="G25" s="318">
        <f t="shared" ref="G25:G37" si="3">+E25-D25</f>
        <v>4754.7600599798316</v>
      </c>
      <c r="H25" s="1234">
        <v>2.7856539540189709</v>
      </c>
      <c r="I25" s="1234">
        <f t="shared" ref="I25:I31" si="4">IFERROR(IF(ABS(+G25/D25*100)&gt;500,"-",+G25/D25*100),"-")</f>
        <v>5.1510202427667267</v>
      </c>
      <c r="J25" s="318">
        <f>+G25/$D$39*100</f>
        <v>4.7267765864960491</v>
      </c>
      <c r="K25" s="684"/>
      <c r="L25" s="554"/>
      <c r="M25" s="555"/>
      <c r="N25" s="555"/>
      <c r="O25" s="555"/>
      <c r="P25" s="555"/>
      <c r="Q25" s="555"/>
      <c r="R25" s="555"/>
      <c r="S25" s="555"/>
      <c r="T25" s="555"/>
    </row>
    <row r="26" spans="2:20" ht="15" customHeight="1">
      <c r="C26" s="819" t="str">
        <f>IF(Indice_index!$Z$1=1,"Despesas com o pessoal","Compensation of employees")</f>
        <v>Despesas com o pessoal</v>
      </c>
      <c r="D26" s="179">
        <f>'2 - Conta Consol AP'!K30</f>
        <v>23561.056573721631</v>
      </c>
      <c r="E26" s="179">
        <f>'2 - Conta Consol AP'!Q30</f>
        <v>24274.178727494258</v>
      </c>
      <c r="F26" s="179">
        <v>578.8601382457673</v>
      </c>
      <c r="G26" s="179">
        <f t="shared" si="3"/>
        <v>713.12215377262692</v>
      </c>
      <c r="H26" s="1547">
        <v>2.7040578084566369</v>
      </c>
      <c r="I26" s="1547">
        <f t="shared" si="4"/>
        <v>3.02669853340955</v>
      </c>
      <c r="J26" s="179">
        <f>+G26/$D$39*100</f>
        <v>0.70892517335109984</v>
      </c>
      <c r="K26" s="685"/>
      <c r="L26" s="208"/>
      <c r="M26" s="206"/>
      <c r="N26" s="206"/>
      <c r="O26" s="206"/>
      <c r="P26" s="206"/>
      <c r="Q26" s="206"/>
      <c r="R26" s="206"/>
      <c r="S26" s="206"/>
      <c r="T26" s="206"/>
    </row>
    <row r="27" spans="2:20" ht="15" customHeight="1">
      <c r="C27" s="819" t="str">
        <f>IF(Indice_index!$Z$1=1,"Aquisição de bens e serviços","Purchase of goods and services")</f>
        <v>Aquisição de bens e serviços</v>
      </c>
      <c r="D27" s="179">
        <f>'2 - Conta Consol AP'!K34</f>
        <v>14840.661404167568</v>
      </c>
      <c r="E27" s="179">
        <f>'2 - Conta Consol AP'!Q34</f>
        <v>16167.573906148997</v>
      </c>
      <c r="F27" s="179">
        <v>941.53188712547671</v>
      </c>
      <c r="G27" s="179">
        <f t="shared" si="3"/>
        <v>1326.9125019814292</v>
      </c>
      <c r="H27" s="1547">
        <v>7.9588740691540929</v>
      </c>
      <c r="I27" s="1547">
        <f t="shared" si="4"/>
        <v>8.9410604139840046</v>
      </c>
      <c r="J27" s="179">
        <f>+G27/$D$39*100</f>
        <v>1.3191031445488579</v>
      </c>
      <c r="K27" s="685"/>
      <c r="L27" s="208"/>
      <c r="M27" s="206"/>
      <c r="N27" s="206"/>
      <c r="O27" s="206"/>
      <c r="P27" s="206"/>
      <c r="Q27" s="206"/>
      <c r="R27" s="206"/>
      <c r="S27" s="206"/>
      <c r="T27" s="206"/>
    </row>
    <row r="28" spans="2:20" s="537" customFormat="1" ht="15" customHeight="1">
      <c r="B28" s="137"/>
      <c r="C28" s="819" t="str">
        <f>IF(Indice_index!$Z$1=1,"Juros e outros encargos","Interests and other charges")</f>
        <v>Juros e outros encargos</v>
      </c>
      <c r="D28" s="179">
        <f>'2 - Conta Consol AP'!K35</f>
        <v>6952.2962417535928</v>
      </c>
      <c r="E28" s="179">
        <f>'2 - Conta Consol AP'!Q35</f>
        <v>6571.3846757472948</v>
      </c>
      <c r="F28" s="179">
        <v>-364.29521469745305</v>
      </c>
      <c r="G28" s="179">
        <f t="shared" si="3"/>
        <v>-380.91156600629802</v>
      </c>
      <c r="H28" s="1547">
        <v>-5.4291789873152574</v>
      </c>
      <c r="I28" s="1547">
        <f t="shared" si="4"/>
        <v>-5.4789317480266035</v>
      </c>
      <c r="J28" s="179">
        <f>+G28/$D$39*100</f>
        <v>-0.37866976440694489</v>
      </c>
      <c r="K28" s="685"/>
      <c r="L28" s="208"/>
      <c r="M28" s="206"/>
      <c r="N28" s="206"/>
      <c r="O28" s="539"/>
      <c r="P28" s="539"/>
      <c r="Q28" s="539"/>
      <c r="R28" s="539"/>
      <c r="S28" s="206"/>
      <c r="T28" s="206"/>
    </row>
    <row r="29" spans="2:20" ht="15" customHeight="1">
      <c r="C29" s="819" t="str">
        <f>IF(Indice_index!$Z$1=1,"Transferências correntes","Current transfers")</f>
        <v>Transferências correntes</v>
      </c>
      <c r="D29" s="179">
        <f>'2 - Conta Consol AP'!K36</f>
        <v>43788.602517647894</v>
      </c>
      <c r="E29" s="179">
        <f>'2 - Conta Consol AP'!Q36</f>
        <v>46848.6108080548</v>
      </c>
      <c r="F29" s="179">
        <v>1086.0853853868757</v>
      </c>
      <c r="G29" s="179">
        <f t="shared" si="3"/>
        <v>3060.0082904069059</v>
      </c>
      <c r="H29" s="1547">
        <v>2.8216081181692085</v>
      </c>
      <c r="I29" s="1547">
        <f t="shared" si="4"/>
        <v>6.9881387266781267</v>
      </c>
      <c r="J29" s="179">
        <f>+G29/$D$39*100</f>
        <v>3.0419990407761017</v>
      </c>
      <c r="K29" s="685"/>
      <c r="L29" s="208"/>
      <c r="M29" s="206"/>
      <c r="N29" s="206"/>
      <c r="O29" s="206"/>
      <c r="P29" s="206"/>
      <c r="Q29" s="206"/>
      <c r="R29" s="206"/>
      <c r="S29" s="206"/>
      <c r="T29" s="206"/>
    </row>
    <row r="30" spans="2:20" ht="15" customHeight="1">
      <c r="C30" s="819" t="str">
        <f>IF(Indice_index!$Z$1=1,"Subsídios","Subsidies")</f>
        <v>Subsídios</v>
      </c>
      <c r="D30" s="179">
        <f>'2 - Conta Consol AP'!K39</f>
        <v>2152.4162870722703</v>
      </c>
      <c r="E30" s="179">
        <f>'2 - Conta Consol AP'!Q39</f>
        <v>2032.1947429265551</v>
      </c>
      <c r="F30" s="179">
        <v>-62.878181526089747</v>
      </c>
      <c r="G30" s="179">
        <f t="shared" si="3"/>
        <v>-120.22154414571514</v>
      </c>
      <c r="H30" s="1547">
        <v>-3.487487396126558</v>
      </c>
      <c r="I30" s="1547">
        <f t="shared" si="4"/>
        <v>-5.5854225257346117</v>
      </c>
      <c r="J30" s="179">
        <f t="shared" ref="J30:J35" si="5">+G30/$D$39*100</f>
        <v>-0.11951399710856872</v>
      </c>
      <c r="K30" s="685"/>
      <c r="L30" s="208"/>
      <c r="M30" s="206"/>
      <c r="N30" s="206"/>
      <c r="O30" s="206"/>
      <c r="P30" s="206"/>
      <c r="Q30" s="206"/>
      <c r="R30" s="206"/>
      <c r="S30" s="206"/>
      <c r="T30" s="206"/>
    </row>
    <row r="31" spans="2:20" ht="15" customHeight="1">
      <c r="C31" s="819" t="str">
        <f>IF(Indice_index!$Z$1=1,"Outras despesas correntes","Other current expenditures")</f>
        <v>Outras despesas correntes</v>
      </c>
      <c r="D31" s="179">
        <f>'2 - Conta Consol AP'!K40</f>
        <v>766.77120468003727</v>
      </c>
      <c r="E31" s="179">
        <f>'2 - Conta Consol AP'!Q40</f>
        <v>1119.5146445909081</v>
      </c>
      <c r="F31" s="179">
        <v>141.76446069965903</v>
      </c>
      <c r="G31" s="179">
        <f t="shared" si="3"/>
        <v>352.74343991087085</v>
      </c>
      <c r="H31" s="1547">
        <v>23.091760065127868</v>
      </c>
      <c r="I31" s="1547">
        <f t="shared" si="4"/>
        <v>46.003741110500577</v>
      </c>
      <c r="J31" s="179">
        <f t="shared" si="5"/>
        <v>0.35066741786710742</v>
      </c>
      <c r="K31" s="685"/>
      <c r="L31" s="208"/>
      <c r="M31" s="206"/>
      <c r="N31" s="206"/>
      <c r="O31" s="206"/>
      <c r="P31" s="206"/>
      <c r="Q31" s="206"/>
      <c r="R31" s="206"/>
      <c r="S31" s="206"/>
      <c r="T31" s="206"/>
    </row>
    <row r="32" spans="2:20" ht="15" customHeight="1">
      <c r="C32" s="819" t="str">
        <f>IF(Indice_index!$Z$1=1,"Diferenças de consolidação","Consolidation differences")</f>
        <v>Diferenças de consolidação</v>
      </c>
      <c r="D32" s="179">
        <f>'2 - Conta Consol AP'!K41</f>
        <v>245.34728441998359</v>
      </c>
      <c r="E32" s="179">
        <f>'2 - Conta Consol AP'!Q41</f>
        <v>48.454068480002263</v>
      </c>
      <c r="F32" s="179">
        <v>-66.503914120003856</v>
      </c>
      <c r="G32" s="179">
        <f t="shared" si="3"/>
        <v>-196.89321593998133</v>
      </c>
      <c r="H32" s="1547" t="s">
        <v>2</v>
      </c>
      <c r="I32" s="1549" t="s">
        <v>2</v>
      </c>
      <c r="J32" s="179">
        <f t="shared" si="5"/>
        <v>-0.19573442853159706</v>
      </c>
      <c r="K32" s="685"/>
      <c r="L32" s="208"/>
      <c r="M32" s="206"/>
      <c r="N32" s="206"/>
      <c r="O32" s="206"/>
      <c r="P32" s="206"/>
      <c r="Q32" s="206"/>
      <c r="R32" s="206"/>
      <c r="S32" s="206"/>
      <c r="T32" s="206"/>
    </row>
    <row r="33" spans="2:20" s="251" customFormat="1" ht="15" customHeight="1">
      <c r="C33" s="318" t="str">
        <f>IF(Indice_index!$Z$1=1,"Despesa de capital","Capital expenditure")</f>
        <v>Despesa de capital</v>
      </c>
      <c r="D33" s="318">
        <f>'2 - Conta Consol AP'!K42</f>
        <v>8284.868713677175</v>
      </c>
      <c r="E33" s="318">
        <f>'2 - Conta Consol AP'!Q42</f>
        <v>8643.8840585229609</v>
      </c>
      <c r="F33" s="318">
        <v>-65.623806366445933</v>
      </c>
      <c r="G33" s="318">
        <f t="shared" si="3"/>
        <v>359.01534484578588</v>
      </c>
      <c r="H33" s="1234">
        <v>-1.000739610971572</v>
      </c>
      <c r="I33" s="1234">
        <f>IFERROR(IF(ABS(+G33/D33*100)&gt;500,"-",+G33/D33*100),"-")</f>
        <v>4.3333860469400207</v>
      </c>
      <c r="J33" s="318">
        <f t="shared" si="5"/>
        <v>0.35690241038515491</v>
      </c>
      <c r="K33" s="684"/>
      <c r="L33" s="554"/>
      <c r="M33" s="555"/>
      <c r="N33" s="555"/>
      <c r="O33" s="555"/>
      <c r="P33" s="555"/>
      <c r="Q33" s="555"/>
      <c r="R33" s="555"/>
      <c r="S33" s="555"/>
      <c r="T33" s="555"/>
    </row>
    <row r="34" spans="2:20" ht="15" customHeight="1">
      <c r="C34" s="819" t="str">
        <f>IF(Indice_index!$Z$1=1,"Investimentos","Investments")</f>
        <v>Investimentos</v>
      </c>
      <c r="D34" s="179">
        <f>'2 - Conta Consol AP'!K43</f>
        <v>6280.6845699040796</v>
      </c>
      <c r="E34" s="179">
        <f>'2 - Conta Consol AP'!Q43</f>
        <v>6663.7556195424077</v>
      </c>
      <c r="F34" s="179">
        <v>198.80761803813584</v>
      </c>
      <c r="G34" s="179">
        <f t="shared" si="3"/>
        <v>383.07104963832808</v>
      </c>
      <c r="H34" s="1547">
        <v>3.9529607152218156</v>
      </c>
      <c r="I34" s="1547">
        <f>IFERROR(IF(ABS(+G34/D34*100)&gt;500,"-",+G34/D34*100),"-")</f>
        <v>6.0991926178546878</v>
      </c>
      <c r="J34" s="179">
        <f t="shared" si="5"/>
        <v>0.38081653870092352</v>
      </c>
      <c r="K34" s="685"/>
      <c r="L34" s="208"/>
      <c r="M34" s="206"/>
      <c r="N34" s="206"/>
      <c r="O34" s="206"/>
      <c r="P34" s="206"/>
      <c r="Q34" s="206"/>
      <c r="R34" s="206"/>
      <c r="S34" s="206"/>
      <c r="T34" s="206"/>
    </row>
    <row r="35" spans="2:20" ht="15" customHeight="1">
      <c r="C35" s="819" t="str">
        <f>IF(Indice_index!$Z$1=1,"Transferências de capital","Capital transfers")</f>
        <v>Transferências de capital</v>
      </c>
      <c r="D35" s="179">
        <f>'2 - Conta Consol AP'!K44</f>
        <v>1779.5062792830968</v>
      </c>
      <c r="E35" s="179">
        <f>'2 - Conta Consol AP'!Q44</f>
        <v>1574.9040750987472</v>
      </c>
      <c r="F35" s="179">
        <v>-415.72461415888665</v>
      </c>
      <c r="G35" s="179">
        <f t="shared" si="3"/>
        <v>-204.6022041843496</v>
      </c>
      <c r="H35" s="1547">
        <v>-28.807603684137</v>
      </c>
      <c r="I35" s="1547">
        <f>IFERROR(IF(ABS(+G35/D35*100)&gt;500,"-",+G35/D35*100),"-")</f>
        <v>-11.497694982384493</v>
      </c>
      <c r="J35" s="179">
        <f t="shared" si="5"/>
        <v>-0.2033980466068292</v>
      </c>
      <c r="K35" s="685"/>
      <c r="L35" s="208"/>
      <c r="M35" s="206"/>
      <c r="N35" s="206"/>
      <c r="O35" s="206"/>
      <c r="P35" s="206"/>
      <c r="Q35" s="206"/>
      <c r="R35" s="206"/>
      <c r="S35" s="206"/>
      <c r="T35" s="206"/>
    </row>
    <row r="36" spans="2:20" ht="15" customHeight="1">
      <c r="C36" s="819" t="str">
        <f>IF(Indice_index!$Z$1=1,"Outras despesas de capital","Other capital expenditures")</f>
        <v>Outras despesas de capital</v>
      </c>
      <c r="D36" s="179">
        <f>'2 - Conta Consol AP'!K47</f>
        <v>164.66510112000003</v>
      </c>
      <c r="E36" s="179">
        <f>'2 - Conta Consol AP'!Q47</f>
        <v>344.71930277180621</v>
      </c>
      <c r="F36" s="179">
        <v>136.66632510430287</v>
      </c>
      <c r="G36" s="179">
        <f t="shared" si="3"/>
        <v>180.05420165180618</v>
      </c>
      <c r="H36" s="1547">
        <v>235.61282070758688</v>
      </c>
      <c r="I36" s="1547">
        <f>IFERROR(IF(ABS(+G36/D36*100)&gt;500,"-",+G36/D36*100),"-")</f>
        <v>109.34569646338804</v>
      </c>
      <c r="J36" s="179">
        <f>+G36/$D$39*100</f>
        <v>0.178994517900364</v>
      </c>
      <c r="K36" s="685"/>
      <c r="L36" s="208"/>
      <c r="M36" s="206"/>
      <c r="N36" s="206"/>
      <c r="O36" s="206"/>
      <c r="P36" s="206"/>
      <c r="Q36" s="206"/>
      <c r="R36" s="206"/>
      <c r="S36" s="206"/>
      <c r="T36" s="206"/>
    </row>
    <row r="37" spans="2:20" ht="15" customHeight="1">
      <c r="C37" s="819" t="str">
        <f>IF(Indice_index!$Z$1=1,"Diferenças de consolidação","Consolidation differences")</f>
        <v>Diferenças de consolidação</v>
      </c>
      <c r="D37" s="179">
        <f>'2 - Conta Consol AP'!K48</f>
        <v>60.012763370000158</v>
      </c>
      <c r="E37" s="179">
        <f>'2 - Conta Consol AP'!Q48</f>
        <v>60.505061109999843</v>
      </c>
      <c r="F37" s="179">
        <v>14.626864650000428</v>
      </c>
      <c r="G37" s="179">
        <f t="shared" si="3"/>
        <v>0.49229773999968529</v>
      </c>
      <c r="H37" s="1547" t="s">
        <v>2</v>
      </c>
      <c r="I37" s="1549" t="s">
        <v>2</v>
      </c>
      <c r="J37" s="179">
        <f>+G37/$D$39*100</f>
        <v>4.8940039069506752E-4</v>
      </c>
      <c r="K37" s="685"/>
      <c r="L37" s="208"/>
      <c r="M37" s="206"/>
      <c r="N37" s="206"/>
      <c r="O37" s="206"/>
      <c r="P37" s="206"/>
      <c r="Q37" s="206"/>
      <c r="R37" s="206"/>
      <c r="S37" s="206"/>
      <c r="T37" s="206"/>
    </row>
    <row r="38" spans="2:20" ht="4.5" customHeight="1">
      <c r="B38" s="537"/>
      <c r="C38" s="800"/>
      <c r="D38" s="1553"/>
      <c r="E38" s="1553"/>
      <c r="F38" s="1553"/>
      <c r="G38" s="1553"/>
      <c r="H38" s="1554"/>
      <c r="I38" s="1554"/>
      <c r="J38" s="1553"/>
      <c r="K38" s="685"/>
      <c r="L38" s="208"/>
      <c r="M38" s="206"/>
      <c r="N38" s="206"/>
      <c r="O38" s="206"/>
      <c r="P38" s="206"/>
      <c r="Q38" s="206"/>
      <c r="R38" s="206"/>
      <c r="S38" s="206"/>
      <c r="T38" s="206"/>
    </row>
    <row r="39" spans="2:20" s="251" customFormat="1" ht="15" customHeight="1">
      <c r="C39" s="1509" t="str">
        <f>IF(Indice_index!$Z$1=1,"Despesa efetiva","Effective expenditure")</f>
        <v>Despesa efetiva</v>
      </c>
      <c r="D39" s="1509">
        <f>'2 - Conta Consol AP'!K50</f>
        <v>100592.02022714016</v>
      </c>
      <c r="E39" s="1509">
        <f>'2 - Conta Consol AP'!Q50</f>
        <v>105705.79563196578</v>
      </c>
      <c r="F39" s="1509">
        <v>2188.9407547477749</v>
      </c>
      <c r="G39" s="1509">
        <f>+E39-D39</f>
        <v>5113.7754048256174</v>
      </c>
      <c r="H39" s="1552">
        <v>2.5018647316495088</v>
      </c>
      <c r="I39" s="1552">
        <f>IFERROR(IF(ABS(+G39/D39*100)&gt;500,"-",+G39/D39*100),"-")</f>
        <v>5.0836789968812042</v>
      </c>
      <c r="J39" s="1509"/>
      <c r="K39" s="684"/>
      <c r="L39" s="554"/>
      <c r="M39" s="555"/>
      <c r="N39" s="555"/>
      <c r="O39" s="555"/>
      <c r="P39" s="555"/>
      <c r="Q39" s="555"/>
      <c r="R39" s="555"/>
      <c r="S39" s="555"/>
      <c r="T39" s="555"/>
    </row>
    <row r="40" spans="2:20" ht="4.5" customHeight="1">
      <c r="B40" s="537"/>
      <c r="C40" s="819"/>
      <c r="D40" s="328"/>
      <c r="E40" s="328"/>
      <c r="F40" s="328"/>
      <c r="G40" s="328"/>
      <c r="H40" s="1555"/>
      <c r="I40" s="1555"/>
      <c r="J40" s="328"/>
      <c r="K40" s="685"/>
      <c r="L40" s="208"/>
      <c r="M40" s="206"/>
      <c r="N40" s="206"/>
      <c r="O40" s="206"/>
      <c r="P40" s="206"/>
      <c r="Q40" s="206"/>
      <c r="R40" s="206"/>
      <c r="S40" s="206"/>
      <c r="T40" s="206"/>
    </row>
    <row r="41" spans="2:20" s="251" customFormat="1" ht="15" customHeight="1">
      <c r="C41" s="1509" t="str">
        <f>IF(Indice_index!$Z$1=1,"Saldo global","Overall balance")</f>
        <v>Saldo global</v>
      </c>
      <c r="D41" s="1509">
        <f>D23-D39</f>
        <v>-8608.915516549212</v>
      </c>
      <c r="E41" s="1509">
        <f>E23-E39</f>
        <v>-3590.8329099725961</v>
      </c>
      <c r="F41" s="1509">
        <v>8435.3347174556257</v>
      </c>
      <c r="G41" s="1509">
        <f>+E41-D41</f>
        <v>5018.0826065766159</v>
      </c>
      <c r="H41" s="1552" t="s">
        <v>2</v>
      </c>
      <c r="I41" s="1552"/>
      <c r="J41" s="1509"/>
      <c r="K41" s="684"/>
      <c r="L41" s="554"/>
      <c r="M41" s="555"/>
      <c r="N41" s="555"/>
      <c r="O41" s="555"/>
      <c r="P41" s="555"/>
      <c r="Q41" s="555"/>
      <c r="R41" s="555"/>
      <c r="S41" s="555"/>
      <c r="T41" s="555"/>
    </row>
    <row r="42" spans="2:20" s="537" customFormat="1" ht="15" customHeight="1">
      <c r="B42" s="137"/>
      <c r="C42" s="773" t="str">
        <f>IF(Indice_index!$Z$1=1,"Despesa primária","Primary expenditure")</f>
        <v>Despesa primária</v>
      </c>
      <c r="D42" s="777">
        <f>D39-D28</f>
        <v>93639.723985386576</v>
      </c>
      <c r="E42" s="777">
        <f>E39-E28</f>
        <v>99134.410956218489</v>
      </c>
      <c r="F42" s="777">
        <v>2553.2359694452316</v>
      </c>
      <c r="G42" s="777">
        <f>+E42-D42</f>
        <v>5494.6869708319136</v>
      </c>
      <c r="H42" s="1541">
        <v>3.1606331823334921</v>
      </c>
      <c r="I42" s="1541">
        <f>IFERROR(IF(ABS(+G42/D42*100)&gt;500,"-",+G42/D42*100),"-")</f>
        <v>5.8679017162517635</v>
      </c>
      <c r="J42" s="777"/>
      <c r="K42" s="685"/>
      <c r="L42" s="208"/>
      <c r="M42" s="206"/>
      <c r="N42" s="206"/>
      <c r="O42" s="206"/>
      <c r="P42" s="206"/>
      <c r="Q42" s="206"/>
      <c r="R42" s="206"/>
      <c r="S42" s="206"/>
      <c r="T42" s="206"/>
    </row>
    <row r="43" spans="2:20" ht="15" customHeight="1">
      <c r="C43" s="773" t="str">
        <f>IF(Indice_index!$Z$1=1,"Saldo corrente","Current balance")</f>
        <v>Saldo corrente</v>
      </c>
      <c r="D43" s="777">
        <f>D9-D25</f>
        <v>-2497.2133125957771</v>
      </c>
      <c r="E43" s="777">
        <f>E9-E25</f>
        <v>2719.2977269049443</v>
      </c>
      <c r="F43" s="777">
        <v>8071.7459799333592</v>
      </c>
      <c r="G43" s="777">
        <f>+E43-D43</f>
        <v>5216.5110395007214</v>
      </c>
      <c r="H43" s="1541" t="s">
        <v>2</v>
      </c>
      <c r="I43" s="1541"/>
      <c r="J43" s="777"/>
      <c r="K43" s="685"/>
      <c r="L43" s="208"/>
      <c r="M43" s="206"/>
      <c r="N43" s="206"/>
      <c r="O43" s="206"/>
      <c r="P43" s="206"/>
      <c r="Q43" s="206"/>
      <c r="R43" s="206"/>
      <c r="S43" s="206"/>
      <c r="T43" s="206"/>
    </row>
    <row r="44" spans="2:20" s="537" customFormat="1" ht="15" customHeight="1">
      <c r="B44" s="137"/>
      <c r="C44" s="773" t="str">
        <f>IF(Indice_index!$Z$1=1,"Saldo de capital","Capital balance")</f>
        <v>Saldo de capital</v>
      </c>
      <c r="D44" s="179">
        <f>D17-D33</f>
        <v>-6111.7022039534368</v>
      </c>
      <c r="E44" s="179">
        <f>E17-E33</f>
        <v>-6310.1306368775395</v>
      </c>
      <c r="F44" s="179">
        <v>363.58873752226009</v>
      </c>
      <c r="G44" s="179">
        <f>+E44-D44</f>
        <v>-198.42843292410271</v>
      </c>
      <c r="H44" s="1547" t="s">
        <v>2</v>
      </c>
      <c r="I44" s="1547"/>
      <c r="J44" s="179"/>
      <c r="K44" s="685"/>
      <c r="L44" s="208"/>
      <c r="M44" s="206"/>
      <c r="N44" s="206"/>
      <c r="O44" s="206"/>
      <c r="P44" s="206"/>
      <c r="Q44" s="206"/>
      <c r="R44" s="206"/>
      <c r="S44" s="206"/>
      <c r="T44" s="206"/>
    </row>
    <row r="45" spans="2:20" ht="15" customHeight="1">
      <c r="B45" s="168"/>
      <c r="C45" s="1542" t="str">
        <f>IF(Indice_index!$Z$1=1,"Saldo primário","Primary balance")</f>
        <v>Saldo primário</v>
      </c>
      <c r="D45" s="1516">
        <f>D28+D41</f>
        <v>-1656.6192747956193</v>
      </c>
      <c r="E45" s="1516">
        <f>E28+E41</f>
        <v>2980.5517657746987</v>
      </c>
      <c r="F45" s="1516">
        <v>8071.039502758169</v>
      </c>
      <c r="G45" s="1516">
        <f>+E45-D45</f>
        <v>4637.1710405703179</v>
      </c>
      <c r="H45" s="1516" t="s">
        <v>2</v>
      </c>
      <c r="I45" s="1516"/>
      <c r="J45" s="1516"/>
      <c r="K45" s="685"/>
      <c r="L45" s="208"/>
      <c r="M45" s="206"/>
      <c r="N45" s="206"/>
      <c r="O45" s="206"/>
      <c r="P45" s="206"/>
      <c r="Q45" s="206"/>
      <c r="R45" s="206"/>
      <c r="S45" s="206"/>
      <c r="T45" s="206"/>
    </row>
    <row r="46" spans="2:20" ht="40.5" customHeight="1">
      <c r="C46" s="1678"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Os valores apresentados em dezembro de 2021 para os subsetores Estado, Serviços e Fundos Autónomos e Segurança Social dizem respeito à Conta Geral do Estado de 2021, enquanto que para a Adm. Regional diferem dos apresentados na CGE 2021 por refletirem informação mais atualizada, designadamente a disponibilizada nas Contas de Gerência de 2021.</v>
      </c>
      <c r="D46" s="1678"/>
      <c r="E46" s="1678"/>
      <c r="F46" s="1678"/>
      <c r="G46" s="1678"/>
      <c r="H46" s="1678"/>
      <c r="I46" s="1678"/>
      <c r="J46" s="1678"/>
      <c r="K46" s="685"/>
      <c r="L46" s="208"/>
      <c r="M46" s="206"/>
      <c r="N46" s="206"/>
      <c r="O46" s="206"/>
      <c r="P46" s="206"/>
      <c r="Q46" s="206"/>
      <c r="R46" s="206"/>
      <c r="S46" s="206"/>
      <c r="T46" s="206"/>
    </row>
    <row r="47" spans="2:20" ht="13.5" customHeight="1">
      <c r="C47" s="1556" t="str">
        <f>IF(Indice_index!$Z$1=1,"Fonte: Direção-Geral do Orçamento","Source: Budget General Directorate")</f>
        <v>Fonte: Direção-Geral do Orçamento</v>
      </c>
      <c r="D47" s="1557"/>
      <c r="E47" s="1557"/>
      <c r="F47" s="1557"/>
      <c r="G47" s="1557"/>
      <c r="H47" s="1557"/>
      <c r="I47" s="1557"/>
      <c r="J47" s="1557"/>
      <c r="K47" s="685"/>
      <c r="L47" s="208"/>
      <c r="M47" s="206"/>
      <c r="N47" s="206"/>
      <c r="O47" s="206"/>
      <c r="P47" s="206"/>
      <c r="Q47" s="206"/>
      <c r="R47" s="206"/>
      <c r="S47" s="206"/>
      <c r="T47" s="206"/>
    </row>
    <row r="48" spans="2:20" s="168" customFormat="1" ht="13.5" customHeight="1">
      <c r="B48" s="137"/>
      <c r="C48" s="111"/>
      <c r="D48" s="673"/>
      <c r="E48" s="673"/>
      <c r="F48" s="673"/>
      <c r="G48" s="673"/>
      <c r="H48" s="673"/>
      <c r="I48" s="673"/>
      <c r="J48" s="673"/>
      <c r="K48" s="207"/>
      <c r="L48" s="208"/>
      <c r="M48" s="206"/>
      <c r="N48" s="206"/>
      <c r="O48" s="206"/>
      <c r="P48" s="206"/>
      <c r="Q48" s="206"/>
      <c r="R48" s="206"/>
      <c r="S48" s="206"/>
      <c r="T48" s="206"/>
    </row>
  </sheetData>
  <mergeCells count="11">
    <mergeCell ref="C46:J46"/>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E7 J8 E6 J7 D8:E8" numberStoredAsText="1"/>
    <ignoredError sqref="C30:C35 C13:C14 C15:C19 C47:J47 D48:J48 C11:C12"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U52"/>
  <sheetViews>
    <sheetView showGridLines="0" zoomScaleNormal="100" zoomScaleSheetLayoutView="100" workbookViewId="0">
      <selection activeCell="F21" sqref="F21"/>
    </sheetView>
  </sheetViews>
  <sheetFormatPr defaultColWidth="9.140625" defaultRowHeight="12.75"/>
  <cols>
    <col min="1" max="1" width="2.5703125" style="188" customWidth="1"/>
    <col min="2" max="2" width="5.140625" style="188" customWidth="1"/>
    <col min="3" max="3" width="23.5703125" style="188" customWidth="1"/>
    <col min="4" max="4" width="1" style="188" customWidth="1"/>
    <col min="5" max="5" width="9.42578125" style="188" customWidth="1"/>
    <col min="6" max="6" width="8.5703125" style="188" customWidth="1"/>
    <col min="7" max="7" width="1" style="188" customWidth="1"/>
    <col min="8" max="8" width="7.42578125" style="189" customWidth="1"/>
    <col min="9" max="9" width="7.42578125" style="191" customWidth="1"/>
    <col min="10" max="10" width="7.42578125" style="355" customWidth="1"/>
    <col min="11" max="11" width="7.42578125" style="191" customWidth="1"/>
    <col min="12" max="12" width="9.140625" style="188" customWidth="1"/>
    <col min="13" max="14" width="1" style="190" customWidth="1"/>
    <col min="15" max="15" width="1.5703125" style="188" customWidth="1"/>
    <col min="16" max="16" width="9.140625" style="188" customWidth="1"/>
    <col min="17" max="17" width="11.42578125" style="188" customWidth="1"/>
    <col min="18" max="18" width="8.42578125" style="189" customWidth="1"/>
    <col min="19" max="21" width="9.140625" style="189"/>
    <col min="22" max="16384" width="9.14062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Síntese Global</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1015" t="s">
        <v>54</v>
      </c>
      <c r="D6" s="1016"/>
      <c r="E6" s="1016"/>
      <c r="F6" s="1016"/>
      <c r="G6" s="1016"/>
      <c r="H6" s="1016"/>
      <c r="I6" s="1016"/>
      <c r="J6" s="1016"/>
      <c r="K6" s="1016"/>
      <c r="L6" s="1016"/>
      <c r="M6" s="252"/>
      <c r="N6" s="252"/>
      <c r="O6" s="253"/>
      <c r="P6" s="253"/>
      <c r="Q6" s="253"/>
    </row>
    <row r="7" spans="2:18" s="254" customFormat="1">
      <c r="B7" s="252"/>
      <c r="C7" s="1016"/>
      <c r="D7" s="1016"/>
      <c r="E7" s="1016"/>
      <c r="F7" s="1016"/>
      <c r="G7" s="1016"/>
      <c r="H7" s="1016"/>
      <c r="I7" s="1016"/>
      <c r="J7" s="1016"/>
      <c r="K7" s="1016"/>
      <c r="L7" s="1016"/>
      <c r="M7" s="252"/>
      <c r="N7" s="252"/>
      <c r="O7" s="253"/>
      <c r="P7" s="253"/>
      <c r="Q7" s="253"/>
    </row>
    <row r="8" spans="2:18" s="254" customFormat="1" ht="15.75">
      <c r="B8" s="252"/>
      <c r="C8" s="1017" t="str">
        <f>+'6 - Conta AC'!C4</f>
        <v>Período: janeiro a dezembro</v>
      </c>
      <c r="D8" s="1018"/>
      <c r="E8" s="1019"/>
      <c r="F8" s="1019"/>
      <c r="G8" s="1019"/>
      <c r="H8" s="1019"/>
      <c r="I8" s="1019"/>
      <c r="J8" s="1019"/>
      <c r="K8" s="1020"/>
      <c r="L8" s="1021" t="str">
        <f>IF(Indice_index!$Z$1=1,"€ Milhões","€ Millions")</f>
        <v>€ Milhões</v>
      </c>
      <c r="N8" s="253"/>
      <c r="O8" s="253"/>
      <c r="P8" s="253"/>
      <c r="Q8" s="253"/>
    </row>
    <row r="9" spans="2:18" s="189" customFormat="1" ht="18.75" customHeight="1">
      <c r="B9" s="190"/>
      <c r="C9" s="1693" t="s">
        <v>53</v>
      </c>
      <c r="D9" s="1022"/>
      <c r="E9" s="1696" t="s">
        <v>93</v>
      </c>
      <c r="F9" s="1696"/>
      <c r="G9" s="1023"/>
      <c r="H9" s="1702" t="s">
        <v>92</v>
      </c>
      <c r="I9" s="1702"/>
      <c r="J9" s="1702"/>
      <c r="K9" s="1702"/>
      <c r="L9" s="1698" t="str">
        <f>"Contributo VHA " &amp; "
(em p.p.)"</f>
        <v>Contributo VHA 
(em p.p.)</v>
      </c>
      <c r="N9" s="188"/>
      <c r="O9" s="188"/>
      <c r="P9" s="188"/>
      <c r="Q9" s="1701"/>
    </row>
    <row r="10" spans="2:18" s="189" customFormat="1" ht="13.5" customHeight="1">
      <c r="B10" s="190"/>
      <c r="C10" s="1694"/>
      <c r="D10" s="1024"/>
      <c r="E10" s="1697"/>
      <c r="F10" s="1697"/>
      <c r="G10" s="1025"/>
      <c r="H10" s="1697" t="s">
        <v>52</v>
      </c>
      <c r="I10" s="1697"/>
      <c r="J10" s="1697" t="s">
        <v>51</v>
      </c>
      <c r="K10" s="1697"/>
      <c r="L10" s="1699"/>
      <c r="N10" s="188"/>
      <c r="O10" s="188"/>
      <c r="P10" s="188"/>
      <c r="Q10" s="1701"/>
      <c r="R10" s="190"/>
    </row>
    <row r="11" spans="2:18" s="189" customFormat="1" ht="17.25" customHeight="1">
      <c r="B11" s="190"/>
      <c r="C11" s="1695"/>
      <c r="D11" s="1024"/>
      <c r="E11" s="1026" t="s">
        <v>67</v>
      </c>
      <c r="F11" s="1026" t="s">
        <v>73</v>
      </c>
      <c r="G11" s="1027"/>
      <c r="H11" s="1028" t="s">
        <v>593</v>
      </c>
      <c r="I11" s="1028" t="s">
        <v>596</v>
      </c>
      <c r="J11" s="1028" t="s">
        <v>593</v>
      </c>
      <c r="K11" s="1028" t="s">
        <v>596</v>
      </c>
      <c r="L11" s="1700"/>
      <c r="N11" s="188"/>
      <c r="O11" s="188"/>
      <c r="P11" s="188"/>
      <c r="Q11" s="199"/>
      <c r="R11" s="190"/>
    </row>
    <row r="12" spans="2:18" s="189" customFormat="1" ht="15" customHeight="1">
      <c r="B12" s="190"/>
      <c r="C12" s="1029" t="s">
        <v>50</v>
      </c>
      <c r="D12" s="1024"/>
      <c r="E12" s="809">
        <f>'5 - Conta AC + SS'!F30</f>
        <v>19006.993351709996</v>
      </c>
      <c r="F12" s="809">
        <f>'5 - Conta AC + SS'!G30</f>
        <v>19307.447140709999</v>
      </c>
      <c r="G12" s="809"/>
      <c r="H12" s="809">
        <v>195.04878264999206</v>
      </c>
      <c r="I12" s="812">
        <f>F12-E12</f>
        <v>300.45378900000287</v>
      </c>
      <c r="J12" s="812">
        <v>1.1262919277442052</v>
      </c>
      <c r="K12" s="812">
        <f t="shared" ref="K12:K18" si="0">+IFERROR(((F12/E12-1)*100),"-")</f>
        <v>1.580753901684151</v>
      </c>
      <c r="L12" s="812">
        <f t="shared" ref="L12:L18" si="1">IFERROR((F12-E12)/$E$22*100,"-")</f>
        <v>0.32493563322223951</v>
      </c>
      <c r="N12" s="188"/>
      <c r="O12" s="188"/>
      <c r="P12" s="198"/>
      <c r="Q12" s="188"/>
      <c r="R12" s="194"/>
    </row>
    <row r="13" spans="2:18" s="189" customFormat="1" ht="15" customHeight="1">
      <c r="B13" s="190"/>
      <c r="C13" s="1029" t="s">
        <v>49</v>
      </c>
      <c r="D13" s="1024"/>
      <c r="E13" s="809">
        <f>'5 - Conta AC + SS'!F34</f>
        <v>11472.973301580041</v>
      </c>
      <c r="F13" s="809">
        <f>'5 - Conta AC + SS'!G34</f>
        <v>12530.488403609981</v>
      </c>
      <c r="G13" s="1027"/>
      <c r="H13" s="1027">
        <v>701.96370153001772</v>
      </c>
      <c r="I13" s="809">
        <f>F13-E13</f>
        <v>1057.51510202994</v>
      </c>
      <c r="J13" s="809">
        <v>7.8156057099597831</v>
      </c>
      <c r="K13" s="812">
        <f t="shared" si="0"/>
        <v>9.217445854984252</v>
      </c>
      <c r="L13" s="812">
        <f t="shared" si="1"/>
        <v>1.1436844929260535</v>
      </c>
      <c r="N13" s="188"/>
      <c r="O13" s="188"/>
      <c r="P13" s="198"/>
      <c r="Q13" s="188"/>
      <c r="R13" s="194"/>
    </row>
    <row r="14" spans="2:18" s="189" customFormat="1" ht="15" customHeight="1">
      <c r="B14" s="190"/>
      <c r="C14" s="1029" t="s">
        <v>48</v>
      </c>
      <c r="D14" s="1024"/>
      <c r="E14" s="809">
        <f>'5 - Conta AC + SS'!F35</f>
        <v>6799.7249258299998</v>
      </c>
      <c r="F14" s="809">
        <f>'5 - Conta AC + SS'!G35</f>
        <v>6419.7688275900009</v>
      </c>
      <c r="G14" s="1027"/>
      <c r="H14" s="1027">
        <v>-369.06396855999901</v>
      </c>
      <c r="I14" s="809">
        <f>F14-E14</f>
        <v>-379.95609823999894</v>
      </c>
      <c r="J14" s="809">
        <v>-5.6061710349318723</v>
      </c>
      <c r="K14" s="812">
        <f t="shared" si="0"/>
        <v>-5.5878157187898347</v>
      </c>
      <c r="L14" s="812">
        <f t="shared" si="1"/>
        <v>-0.41091602069383232</v>
      </c>
      <c r="N14" s="188"/>
      <c r="O14" s="188"/>
      <c r="P14" s="198"/>
      <c r="Q14" s="188"/>
      <c r="R14" s="194"/>
    </row>
    <row r="15" spans="2:18" s="189" customFormat="1" ht="15" customHeight="1">
      <c r="B15" s="190"/>
      <c r="C15" s="1029" t="s">
        <v>47</v>
      </c>
      <c r="D15" s="1024"/>
      <c r="E15" s="809">
        <f>'5 - Conta AC + SS'!F36+'5 - Conta AC + SS'!F44</f>
        <v>49008.860479359995</v>
      </c>
      <c r="F15" s="809">
        <f>'5 - Conta AC + SS'!G36+'5 - Conta AC + SS'!G44</f>
        <v>52317.572167059996</v>
      </c>
      <c r="G15" s="809"/>
      <c r="H15" s="809">
        <v>1004.3894082599945</v>
      </c>
      <c r="I15" s="809">
        <f>F15-E15</f>
        <v>3308.7116877000008</v>
      </c>
      <c r="J15" s="809">
        <v>2.3293732734728456</v>
      </c>
      <c r="K15" s="812">
        <f t="shared" si="0"/>
        <v>6.7512520294028544</v>
      </c>
      <c r="L15" s="812">
        <f t="shared" si="1"/>
        <v>3.5783150912189505</v>
      </c>
      <c r="N15" s="188"/>
      <c r="O15" s="188"/>
      <c r="P15" s="198"/>
      <c r="Q15" s="188"/>
      <c r="R15" s="194"/>
    </row>
    <row r="16" spans="2:18" s="189" customFormat="1" ht="15" customHeight="1">
      <c r="B16" s="190"/>
      <c r="C16" s="1029" t="s">
        <v>46</v>
      </c>
      <c r="D16" s="1024"/>
      <c r="E16" s="809">
        <f>'5 - Conta AC + SS'!F39</f>
        <v>1651.8126438400002</v>
      </c>
      <c r="F16" s="809">
        <f>'5 - Conta AC + SS'!G39</f>
        <v>1526.3994610700001</v>
      </c>
      <c r="G16" s="809"/>
      <c r="H16" s="809">
        <v>-38.158690410000418</v>
      </c>
      <c r="I16" s="809">
        <f t="shared" ref="I16:I19" si="2">F16-E16</f>
        <v>-125.41318277000005</v>
      </c>
      <c r="J16" s="809">
        <v>-2.7751073501150136</v>
      </c>
      <c r="K16" s="812">
        <f t="shared" si="0"/>
        <v>-7.5924580937006052</v>
      </c>
      <c r="L16" s="812">
        <f t="shared" si="1"/>
        <v>-0.13563221184002455</v>
      </c>
      <c r="N16" s="188"/>
      <c r="O16" s="188"/>
      <c r="P16" s="198"/>
      <c r="Q16" s="188"/>
      <c r="R16" s="194"/>
    </row>
    <row r="17" spans="2:18" s="189" customFormat="1" ht="15" customHeight="1">
      <c r="B17" s="190"/>
      <c r="C17" s="1029" t="s">
        <v>45</v>
      </c>
      <c r="D17" s="1024"/>
      <c r="E17" s="809">
        <f>'5 - Conta AC + SS'!F43</f>
        <v>3462.5933778499971</v>
      </c>
      <c r="F17" s="809">
        <f>'5 - Conta AC + SS'!G43</f>
        <v>3918.3720326400021</v>
      </c>
      <c r="G17" s="1027"/>
      <c r="H17" s="1027">
        <v>322.63239359000227</v>
      </c>
      <c r="I17" s="809">
        <f t="shared" si="2"/>
        <v>455.77865479000502</v>
      </c>
      <c r="J17" s="809">
        <v>11.993381605530939</v>
      </c>
      <c r="K17" s="812">
        <f t="shared" si="0"/>
        <v>13.162927466609098</v>
      </c>
      <c r="L17" s="812">
        <f t="shared" si="1"/>
        <v>0.49291681857728004</v>
      </c>
      <c r="N17" s="188"/>
      <c r="O17" s="188"/>
      <c r="P17" s="198"/>
      <c r="Q17" s="188"/>
      <c r="R17" s="194"/>
    </row>
    <row r="18" spans="2:18" s="189" customFormat="1" ht="15" customHeight="1">
      <c r="B18" s="190"/>
      <c r="C18" s="1029" t="s">
        <v>44</v>
      </c>
      <c r="D18" s="1024"/>
      <c r="E18" s="809">
        <f>'5 - Conta AC + SS'!F40+'5 - Conta AC + SS'!F47</f>
        <v>797.45464144999983</v>
      </c>
      <c r="F18" s="809">
        <f>'5 - Conta AC + SS'!G40+'5 - Conta AC + SS'!G47</f>
        <v>1303.4321388199994</v>
      </c>
      <c r="G18" s="809"/>
      <c r="H18" s="809">
        <v>252.62347605999958</v>
      </c>
      <c r="I18" s="809">
        <f t="shared" si="2"/>
        <v>505.97749736999958</v>
      </c>
      <c r="J18" s="809">
        <v>45.078521626321312</v>
      </c>
      <c r="K18" s="812">
        <f t="shared" si="0"/>
        <v>63.449062939804101</v>
      </c>
      <c r="L18" s="812">
        <f t="shared" si="1"/>
        <v>0.54720600812301046</v>
      </c>
      <c r="N18" s="188"/>
      <c r="O18" s="188"/>
      <c r="P18" s="198"/>
      <c r="Q18" s="188"/>
      <c r="R18" s="194"/>
    </row>
    <row r="19" spans="2:18" s="189" customFormat="1" ht="15" customHeight="1">
      <c r="B19" s="190"/>
      <c r="C19" s="1029" t="s">
        <v>43</v>
      </c>
      <c r="D19" s="1024"/>
      <c r="E19" s="809">
        <f>'5 - Conta AC + SS'!F41+'5 - Conta AC + SS'!F48</f>
        <v>265.2199393899993</v>
      </c>
      <c r="F19" s="809">
        <f>'5 - Conta AC + SS'!G41+'5 - Conta AC + SS'!G48</f>
        <v>97.741128779999599</v>
      </c>
      <c r="G19" s="809"/>
      <c r="H19" s="809">
        <v>-25.067923560005454</v>
      </c>
      <c r="I19" s="809">
        <f t="shared" si="2"/>
        <v>-167.4788106099997</v>
      </c>
      <c r="J19" s="809"/>
      <c r="K19" s="812"/>
      <c r="L19" s="809"/>
      <c r="N19" s="188"/>
      <c r="O19" s="188"/>
      <c r="P19" s="198"/>
      <c r="Q19" s="197"/>
      <c r="R19" s="194"/>
    </row>
    <row r="20" spans="2:18" s="189" customFormat="1" ht="4.5" customHeight="1">
      <c r="B20" s="190"/>
      <c r="C20" s="1027"/>
      <c r="D20" s="1024"/>
      <c r="E20" s="809"/>
      <c r="F20" s="809"/>
      <c r="G20" s="1027"/>
      <c r="H20" s="1027"/>
      <c r="I20" s="809"/>
      <c r="J20" s="809"/>
      <c r="K20" s="812"/>
      <c r="L20" s="809"/>
      <c r="N20" s="188"/>
      <c r="O20" s="188"/>
      <c r="P20" s="198"/>
      <c r="Q20" s="197"/>
      <c r="R20" s="194"/>
    </row>
    <row r="21" spans="2:18" s="254" customFormat="1" ht="15" customHeight="1">
      <c r="B21" s="252"/>
      <c r="C21" s="1030" t="s">
        <v>42</v>
      </c>
      <c r="D21" s="1031"/>
      <c r="E21" s="1032">
        <f>+E22-E14</f>
        <v>85665.907735180037</v>
      </c>
      <c r="F21" s="1032">
        <f>+F22-F14</f>
        <v>91001.452472689998</v>
      </c>
      <c r="G21" s="1032"/>
      <c r="H21" s="1032">
        <v>2413.4311481200275</v>
      </c>
      <c r="I21" s="1032">
        <f>+F21-E21</f>
        <v>5335.5447375099611</v>
      </c>
      <c r="J21" s="1032">
        <v>3.2561313968462402</v>
      </c>
      <c r="K21" s="1033">
        <f>+IFERROR(((F21/E21-1)*100),"-")</f>
        <v>6.2283175169330907</v>
      </c>
      <c r="L21" s="1033">
        <f>IFERROR((F21-E21)/$E$22*100,"-")</f>
        <v>5.7703003634557941</v>
      </c>
      <c r="N21" s="253"/>
      <c r="O21" s="253"/>
      <c r="P21" s="255"/>
      <c r="Q21" s="256"/>
      <c r="R21" s="257"/>
    </row>
    <row r="22" spans="2:18" s="254" customFormat="1" ht="15" customHeight="1">
      <c r="B22" s="252"/>
      <c r="C22" s="1034" t="s">
        <v>41</v>
      </c>
      <c r="D22" s="1035"/>
      <c r="E22" s="1036">
        <f>SUM(E12:E19)</f>
        <v>92465.632661010037</v>
      </c>
      <c r="F22" s="1036">
        <f>SUM(F12:F19)</f>
        <v>97421.221300279998</v>
      </c>
      <c r="G22" s="1036"/>
      <c r="H22" s="1036">
        <v>2044.3671795600239</v>
      </c>
      <c r="I22" s="1036">
        <f>+F22-E22</f>
        <v>4955.5886392699613</v>
      </c>
      <c r="J22" s="1036">
        <v>2.5332060045152538</v>
      </c>
      <c r="K22" s="1037">
        <f>+IFERROR(((F22/E22-1)*100),"-")</f>
        <v>5.3593843427619525</v>
      </c>
      <c r="L22" s="1036"/>
      <c r="N22" s="253"/>
      <c r="O22" s="253"/>
      <c r="P22" s="253"/>
      <c r="Q22" s="258"/>
      <c r="R22" s="257"/>
    </row>
    <row r="23" spans="2:18" s="189" customFormat="1" ht="15" customHeight="1">
      <c r="B23" s="190"/>
      <c r="C23" s="1029" t="s">
        <v>40</v>
      </c>
      <c r="D23" s="1038"/>
      <c r="E23" s="192"/>
      <c r="F23" s="192"/>
      <c r="G23" s="192"/>
      <c r="H23" s="192"/>
      <c r="I23" s="192"/>
      <c r="J23" s="192"/>
      <c r="K23" s="192"/>
      <c r="L23" s="812"/>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&amp;L&amp;G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61"/>
  <sheetViews>
    <sheetView showGridLines="0" zoomScaleNormal="100" workbookViewId="0">
      <selection activeCell="B2" sqref="B2"/>
    </sheetView>
  </sheetViews>
  <sheetFormatPr defaultColWidth="9.42578125" defaultRowHeight="15"/>
  <cols>
    <col min="1" max="1" width="2.5703125" style="583" customWidth="1"/>
    <col min="2" max="2" width="4.42578125" style="419" customWidth="1"/>
    <col min="3" max="3" width="62.140625" style="419" customWidth="1"/>
    <col min="4" max="4" width="10.7109375" style="419" customWidth="1"/>
    <col min="5" max="5" width="13.5703125" style="420" bestFit="1" customWidth="1"/>
    <col min="6" max="6" width="17.42578125" customWidth="1"/>
    <col min="11" max="11" width="10.5703125" bestFit="1" customWidth="1"/>
    <col min="12" max="12" width="15.42578125" bestFit="1" customWidth="1"/>
    <col min="13" max="13" width="19.42578125" style="419" bestFit="1" customWidth="1"/>
    <col min="14" max="14" width="9.5703125" style="419" bestFit="1" customWidth="1"/>
    <col min="15" max="15" width="9.42578125" style="419"/>
    <col min="16" max="16" width="10.5703125" style="419" bestFit="1" customWidth="1"/>
    <col min="17" max="16384" width="9.42578125" style="419"/>
  </cols>
  <sheetData>
    <row r="2" spans="1:18" s="582" customFormat="1" ht="37.5" customHeight="1">
      <c r="A2" s="581"/>
      <c r="B2" s="8"/>
      <c r="C2" s="1705"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D2" s="1705"/>
      <c r="E2" s="354"/>
      <c r="F2"/>
      <c r="G2"/>
      <c r="H2"/>
      <c r="I2"/>
      <c r="J2"/>
      <c r="K2"/>
      <c r="L2"/>
      <c r="M2" s="188"/>
    </row>
    <row r="3" spans="1:18" s="189" customFormat="1" ht="15" customHeight="1">
      <c r="D3" s="504"/>
      <c r="E3" s="354"/>
      <c r="F3" s="354"/>
      <c r="G3" s="354"/>
      <c r="H3" s="354"/>
      <c r="I3" s="354"/>
      <c r="J3" s="354"/>
      <c r="K3" s="354"/>
      <c r="L3" s="188"/>
      <c r="M3" s="445"/>
      <c r="N3" s="446"/>
      <c r="O3" s="190"/>
      <c r="P3" s="188"/>
      <c r="Q3" s="188"/>
      <c r="R3" s="188"/>
    </row>
    <row r="4" spans="1:18" s="189" customFormat="1" ht="15" customHeight="1">
      <c r="C4" s="1704" t="str">
        <f>IF(Indice_index!$Z$1=1,"Execução das medidas adotadas no âmbito da COVID-19 pelas Administrações Públicas","Budgetary implementation of COVID-19 policy measures by the General Government")</f>
        <v>Execução das medidas adotadas no âmbito da COVID-19 pelas Administrações Públicas</v>
      </c>
      <c r="D4" s="1704"/>
      <c r="E4" s="1704"/>
      <c r="F4" s="1704"/>
      <c r="G4" s="1704"/>
      <c r="H4" s="1704"/>
      <c r="I4" s="1704"/>
      <c r="J4" s="354"/>
      <c r="K4" s="354"/>
      <c r="L4" s="188"/>
      <c r="M4" s="445"/>
      <c r="N4" s="446"/>
      <c r="O4" s="190"/>
      <c r="P4" s="188"/>
      <c r="Q4" s="188"/>
      <c r="R4" s="188"/>
    </row>
    <row r="5" spans="1:18" ht="15" customHeight="1">
      <c r="A5" s="420"/>
      <c r="B5" s="420"/>
      <c r="C5" s="420"/>
      <c r="D5" s="420"/>
      <c r="E5" s="438"/>
      <c r="F5" s="438"/>
      <c r="G5" s="438"/>
      <c r="H5" s="438"/>
      <c r="I5" s="438"/>
      <c r="J5" s="420"/>
      <c r="K5" s="419"/>
      <c r="L5" s="419"/>
      <c r="M5" s="447"/>
      <c r="N5" s="447"/>
    </row>
    <row r="6" spans="1:18">
      <c r="C6" s="690" t="str">
        <f>+'5 - Conta AC + SS'!C5</f>
        <v>Período: janeiro a dezembro</v>
      </c>
      <c r="D6" s="1665" t="str">
        <f>IF(Indice_index!$Z$1=1,"€ Milhões","€ Millions")</f>
        <v>€ Milhões</v>
      </c>
      <c r="E6" s="598"/>
    </row>
    <row r="7" spans="1:18" ht="21" customHeight="1">
      <c r="A7" s="1703"/>
      <c r="C7" s="1281" t="str">
        <f>IF(Indice_index!$Z$1=1,"Medida Covid-19","COVID-19 Policy Measure")</f>
        <v>Medida Covid-19</v>
      </c>
      <c r="D7" s="1282" t="s">
        <v>66</v>
      </c>
      <c r="E7" s="598"/>
      <c r="F7" s="1704"/>
      <c r="G7" s="1704"/>
      <c r="H7" s="1704"/>
      <c r="I7" s="1704"/>
      <c r="J7" s="1704"/>
      <c r="K7" s="1704"/>
      <c r="L7" s="1704"/>
    </row>
    <row r="8" spans="1:18" ht="2.25" customHeight="1">
      <c r="A8" s="1703"/>
      <c r="C8" s="1283"/>
      <c r="D8" s="1284"/>
      <c r="E8" s="598"/>
    </row>
    <row r="9" spans="1:18" ht="12" customHeight="1">
      <c r="A9" s="593"/>
      <c r="C9" s="1285" t="str">
        <f>IF(Indice_index!$Z$1=1,"Prorrogação do pagamento do IVA","Extension of VAT payment")</f>
        <v>Prorrogação do pagamento do IVA</v>
      </c>
      <c r="D9" s="1286">
        <v>507.51917323999999</v>
      </c>
      <c r="E9" s="598"/>
    </row>
    <row r="10" spans="1:18" ht="12" hidden="1" customHeight="1">
      <c r="A10" s="584"/>
      <c r="C10" s="1285" t="str">
        <f>IF(Indice_index!$Z$1=1,"Limitação extraordinária de pagamentos por conta em sede de IRS ou IRC","Extraordinary limitation of prepayments related with IRS or IRC")</f>
        <v>Limitação extraordinária de pagamentos por conta em sede de IRS ou IRC</v>
      </c>
      <c r="D10" s="1286"/>
      <c r="E10" s="598"/>
    </row>
    <row r="11" spans="1:18" ht="12" customHeight="1">
      <c r="A11" s="585"/>
      <c r="C11" s="1285" t="str">
        <f>IF(Indice_index!$Z$1=1,"Isenção de pagamento da Taxa Social Única (estimativa)","Exemption from payment of the social security contributions (estimate)")</f>
        <v>Isenção de pagamento da Taxa Social Única (estimativa)</v>
      </c>
      <c r="D11" s="1286">
        <v>8.1017802556000014</v>
      </c>
      <c r="E11" s="598"/>
    </row>
    <row r="12" spans="1:18" ht="12" customHeight="1">
      <c r="A12" s="585"/>
      <c r="C12" s="1285" t="str">
        <f>IF(Indice_index!$Z$1=1,"Adiamento, redução ou isenção de rendas de imóveis","Postponement, reduction or exemption of property rents payment")</f>
        <v>Adiamento, redução ou isenção de rendas de imóveis</v>
      </c>
      <c r="D12" s="1286">
        <v>3.0184720000000005E-2</v>
      </c>
      <c r="E12" s="598"/>
    </row>
    <row r="13" spans="1:18" ht="12" customHeight="1">
      <c r="A13" s="585"/>
      <c r="C13" s="1285" t="str">
        <f>IF(Indice_index!$Z$1=1,"Revenda de vacinas contra a COVID-19 a países terceiros","Resale of vaccines against COVID-19 to third countries")</f>
        <v>Revenda de vacinas contra a COVID-19 a países terceiros</v>
      </c>
      <c r="D13" s="814">
        <v>-39.724086960000001</v>
      </c>
      <c r="E13" s="598"/>
    </row>
    <row r="14" spans="1:18" ht="2.25" customHeight="1">
      <c r="C14" s="1303"/>
      <c r="D14" s="1304"/>
      <c r="E14" s="598"/>
    </row>
    <row r="15" spans="1:18" ht="12" customHeight="1">
      <c r="C15" s="1271" t="str">
        <f>IF(Indice_index!$Z$1=1,"Receita","Revenue")</f>
        <v>Receita</v>
      </c>
      <c r="D15" s="1273">
        <f>SUM(D9:D14)</f>
        <v>475.92705125559996</v>
      </c>
      <c r="E15" s="623"/>
      <c r="F15" s="604"/>
    </row>
    <row r="16" spans="1:18" ht="5.0999999999999996" customHeight="1">
      <c r="C16" s="1296"/>
      <c r="D16" s="1295"/>
      <c r="E16" s="598"/>
    </row>
    <row r="17" spans="1:5" ht="12" customHeight="1">
      <c r="C17" s="1290" t="str">
        <f>IF(Indice_index!$Z$1=1,"Apoio às empresas","Enterpises support")</f>
        <v>Apoio às empresas</v>
      </c>
      <c r="D17" s="1287">
        <f>D18+D25+D22+D24</f>
        <v>1321.6067024500001</v>
      </c>
      <c r="E17" s="622"/>
    </row>
    <row r="18" spans="1:5" ht="12" customHeight="1">
      <c r="C18" s="1300" t="str">
        <f>IF(Indice_index!$Z$1=1,"Apoios aos custos com trabalhadores","Support for workers' costs")</f>
        <v>Apoios aos custos com trabalhadores</v>
      </c>
      <c r="D18" s="1287">
        <f>D19+D21+D20</f>
        <v>173.13786672000001</v>
      </c>
      <c r="E18" s="622"/>
    </row>
    <row r="19" spans="1:5" ht="12" customHeight="1">
      <c r="A19" s="586"/>
      <c r="C19" s="1285" t="str">
        <f>IF(Indice_index!$Z$1=1,"Incentivo à normalização","Incentive to normalization")</f>
        <v>Incentivo à normalização</v>
      </c>
      <c r="D19" s="814">
        <v>118.53383312000001</v>
      </c>
      <c r="E19" s="622"/>
    </row>
    <row r="20" spans="1:5" ht="12" customHeight="1">
      <c r="A20" s="586"/>
      <c r="C20" s="1285" t="str">
        <f>IF(Indice_index!$Z$1=1,"Apoio extraordinário à retoma progressiva de atividade","Extraordinary support for the progressive resumption of activity")</f>
        <v>Apoio extraordinário à retoma progressiva de atividade</v>
      </c>
      <c r="D20" s="814">
        <v>45.277918159999999</v>
      </c>
      <c r="E20" s="622"/>
    </row>
    <row r="21" spans="1:5" ht="12" customHeight="1">
      <c r="A21" s="586"/>
      <c r="C21" s="1285" t="str">
        <f>IF(Indice_index!$Z$1=1,"Layoff Simplificado","Simplified layoff")</f>
        <v>Layoff Simplificado</v>
      </c>
      <c r="D21" s="814">
        <v>9.326115439999997</v>
      </c>
      <c r="E21" s="622"/>
    </row>
    <row r="22" spans="1:5" ht="12" customHeight="1">
      <c r="A22" s="586"/>
      <c r="C22" s="1300" t="str">
        <f>IF(Indice_index!$Z$1=1,"Apoios a outros custos fixos das empresas","Support for other fixed costs of companies")</f>
        <v>Apoios a outros custos fixos das empresas</v>
      </c>
      <c r="D22" s="1287">
        <f>D23</f>
        <v>47.959197140000008</v>
      </c>
      <c r="E22" s="622"/>
    </row>
    <row r="23" spans="1:5" ht="12" customHeight="1">
      <c r="A23" s="586"/>
      <c r="C23" s="1285" t="str">
        <f>IF(Indice_index!$Z$1=1,"Programa Apoiar (APOIAR.PT, APOIAR Rendas e APOIAR + Simples)","Apoiar Program (APOIAR.PT, APOIAR rentals and APOIAR simple plus)")</f>
        <v>Programa Apoiar (APOIAR.PT, APOIAR Rendas e APOIAR + Simples)</v>
      </c>
      <c r="D23" s="814">
        <v>47.959197140000008</v>
      </c>
      <c r="E23" s="622"/>
    </row>
    <row r="24" spans="1:5" ht="12" customHeight="1">
      <c r="A24" s="586"/>
      <c r="C24" s="1301" t="str">
        <f>IF(Indice_index!$Z$1=1,"Apoios ao setor dos transportes","Transport Subsidies")</f>
        <v>Apoios ao setor dos transportes</v>
      </c>
      <c r="D24" s="1288">
        <v>37.85922961</v>
      </c>
      <c r="E24" s="622"/>
    </row>
    <row r="25" spans="1:5" ht="12" customHeight="1">
      <c r="A25" s="586"/>
      <c r="C25" s="1300" t="str">
        <f>IF(Indice_index!$Z$1=1,"Outros","Other benefits")</f>
        <v>Outros</v>
      </c>
      <c r="D25" s="1288">
        <f>SUM(D26:D33)</f>
        <v>1062.6504089800001</v>
      </c>
      <c r="E25" s="622"/>
    </row>
    <row r="26" spans="1:5" ht="12" customHeight="1">
      <c r="A26" s="586"/>
      <c r="C26" s="1285" t="str">
        <f>IF(Indice_index!$Z$1=1,"Programa Ativar (inclui bolsas de formação)","ATIVAR.PT Program (includes training grants)")</f>
        <v>Programa Ativar (inclui bolsas de formação)</v>
      </c>
      <c r="D26" s="1286">
        <v>362.18274433000011</v>
      </c>
      <c r="E26" s="622"/>
    </row>
    <row r="27" spans="1:5" ht="12" customHeight="1">
      <c r="A27" s="586"/>
      <c r="C27" s="1285" t="s">
        <v>604</v>
      </c>
      <c r="D27" s="1286">
        <v>238.63822318000001</v>
      </c>
      <c r="E27" s="622"/>
    </row>
    <row r="28" spans="1:5" ht="12" customHeight="1">
      <c r="A28" s="586"/>
      <c r="C28" s="1285" t="str">
        <f>IF(Indice_index!$Z$1=1,"Compensação ao aumento do valor da retribuição mínima mensal garantida","Compensation for the increase in the guaranteed minimum monthly salary")</f>
        <v>Compensação ao aumento do valor da retribuição mínima mensal garantida</v>
      </c>
      <c r="D28" s="814">
        <v>90.625752000000006</v>
      </c>
      <c r="E28" s="622"/>
    </row>
    <row r="29" spans="1:5" ht="12" customHeight="1">
      <c r="A29" s="586"/>
      <c r="C29" s="1285" t="str">
        <f>IF(Indice_index!$Z$1=1,"Compromisso e Emprego Sustentável ","Commitment and Sustainable Employment ")</f>
        <v xml:space="preserve">Compromisso e Emprego Sustentável </v>
      </c>
      <c r="D29" s="1286">
        <v>54.989078339999999</v>
      </c>
      <c r="E29" s="622"/>
    </row>
    <row r="30" spans="1:5" ht="12" customHeight="1">
      <c r="A30" s="586"/>
      <c r="C30" s="1285" t="str">
        <f>IF(Indice_index!$Z$1=1,"Programa Garantir Cultura","Guarantee Culture Program")</f>
        <v>Programa Garantir Cultura</v>
      </c>
      <c r="D30" s="814">
        <v>14.190645550000001</v>
      </c>
      <c r="E30" s="622"/>
    </row>
    <row r="31" spans="1:5" ht="12" customHeight="1">
      <c r="A31" s="586"/>
      <c r="C31" s="1285" t="str">
        <f>IF(Indice_index!$Z$1=1,"Incentivos à inovação e à Investigação e Desenvolvimento","
Incentives for innovation and Research and Development")</f>
        <v>Incentivos à inovação e à Investigação e Desenvolvimento</v>
      </c>
      <c r="D31" s="814">
        <v>17.551015260000003</v>
      </c>
      <c r="E31" s="622"/>
    </row>
    <row r="32" spans="1:5" ht="12" customHeight="1">
      <c r="A32" s="586"/>
      <c r="C32" s="1285" t="str">
        <f>IF(Indice_index!$Z$1=1,"Programa Adaptar (Adaptar, Adaptar Turismo)","Adaptar Program (Adpatar, Adaptar Tourism")</f>
        <v>Programa Adaptar (Adaptar, Adaptar Turismo)</v>
      </c>
      <c r="D32" s="814">
        <v>5.565895939999999</v>
      </c>
      <c r="E32" s="622"/>
    </row>
    <row r="33" spans="1:5" ht="12" customHeight="1">
      <c r="A33" s="586"/>
      <c r="C33" s="1285" t="str">
        <f>IF(Indice_index!$Z$1=1,"Outros apoios a empresas","Other benefits to companies")</f>
        <v>Outros apoios a empresas</v>
      </c>
      <c r="D33" s="814">
        <v>278.90705437999998</v>
      </c>
      <c r="E33" s="622"/>
    </row>
    <row r="34" spans="1:5" ht="12" customHeight="1">
      <c r="A34" s="586"/>
      <c r="C34" s="1290" t="str">
        <f>IF(Indice_index!$Z$1=1,"Apoio ao rendimento das famílias","Support of families income")</f>
        <v>Apoio ao rendimento das famílias</v>
      </c>
      <c r="D34" s="1287">
        <f>SUM(D35:D42)</f>
        <v>474.33093215999992</v>
      </c>
      <c r="E34" s="622"/>
    </row>
    <row r="35" spans="1:5" ht="12" customHeight="1">
      <c r="A35" s="586"/>
      <c r="C35" s="1302" t="str">
        <f>IF(Indice_index!$Z$1=1,"Isolamento profilático","Prophylactic isolation benefit")</f>
        <v>Isolamento profilático</v>
      </c>
      <c r="D35" s="814">
        <v>245.79870798999997</v>
      </c>
      <c r="E35" s="622"/>
    </row>
    <row r="36" spans="1:5" ht="12" customHeight="1">
      <c r="A36" s="586"/>
      <c r="B36" s="586"/>
      <c r="C36" s="1285" t="str">
        <f>IF(Indice_index!$Z$1=1,"Apoios extraordinários ao rendimento dos trabalhadores","Extraordinary support of workers income")</f>
        <v>Apoios extraordinários ao rendimento dos trabalhadores</v>
      </c>
      <c r="D36" s="814">
        <v>77.97294441999999</v>
      </c>
      <c r="E36" s="622"/>
    </row>
    <row r="37" spans="1:5" ht="12" customHeight="1">
      <c r="A37" s="586"/>
      <c r="C37" s="1285" t="str">
        <f>IF(Indice_index!$Z$1=1,"Subsídio de doença","Sick benefit")</f>
        <v>Subsídio de doença</v>
      </c>
      <c r="D37" s="814">
        <v>66.912549470000002</v>
      </c>
      <c r="E37" s="622"/>
    </row>
    <row r="38" spans="1:5" ht="12" customHeight="1">
      <c r="A38" s="587"/>
      <c r="B38" s="420"/>
      <c r="C38" s="1285" t="str">
        <f>+IF(Indice_index!$Z$1=1,"Programa AUTOvoucher","AUTOvoucher Program")</f>
        <v>Programa AUTOvoucher</v>
      </c>
      <c r="D38" s="814">
        <v>30</v>
      </c>
      <c r="E38" s="622"/>
    </row>
    <row r="39" spans="1:5" ht="12" customHeight="1">
      <c r="A39" s="586"/>
      <c r="C39" s="1285" t="str">
        <f>IF(Indice_index!$Z$1=1,"Subsídios de assistência a filho e a neto","Allowances for child and grandchild's care")</f>
        <v>Subsídios de assistência a filho e a neto</v>
      </c>
      <c r="D39" s="814">
        <v>15.340114720000001</v>
      </c>
      <c r="E39" s="622"/>
    </row>
    <row r="40" spans="1:5" ht="12" customHeight="1">
      <c r="A40" s="586"/>
      <c r="C40" s="1285" t="str">
        <f>IF(Indice_index!$Z$1=1,"Apoios excecional à família","Extraordinary benefits to families")</f>
        <v>Apoios excecional à família</v>
      </c>
      <c r="D40" s="814">
        <v>8.2953824999999988</v>
      </c>
      <c r="E40" s="622"/>
    </row>
    <row r="41" spans="1:5" ht="12" customHeight="1">
      <c r="A41" s="586"/>
      <c r="C41" s="1285" t="str">
        <f>IF(Indice_index!$Z$1=1,"Prestações por doenças profissionais","Benefits for professional illnesses")</f>
        <v>Prestações por doenças profissionais</v>
      </c>
      <c r="D41" s="814">
        <v>1.2911641599999999</v>
      </c>
      <c r="E41" s="622"/>
    </row>
    <row r="42" spans="1:5" ht="12" customHeight="1">
      <c r="A42" s="586"/>
      <c r="C42" s="1285" t="str">
        <f>IF(Indice_index!$Z$1=1,"Outros apoios de proteção social","Other social protection benefits")</f>
        <v>Outros apoios de proteção social</v>
      </c>
      <c r="D42" s="814">
        <v>28.720068899999998</v>
      </c>
      <c r="E42" s="622"/>
    </row>
    <row r="43" spans="1:5" ht="12" customHeight="1">
      <c r="A43" s="586"/>
      <c r="C43" s="1290" t="str">
        <f>IF(Indice_index!$Z$1=1,"Saúde","Health sector")</f>
        <v>Saúde</v>
      </c>
      <c r="D43" s="1287">
        <f>SUM(D44:D48)</f>
        <v>1148.9017233680001</v>
      </c>
      <c r="E43" s="622"/>
    </row>
    <row r="44" spans="1:5" ht="12" customHeight="1">
      <c r="A44" s="586"/>
      <c r="C44" s="1285" t="str">
        <f>IF(Indice_index!$Z$1=1,"Aquisição de vacinas","Purchasing of vaccines")</f>
        <v>Aquisição de vacinas</v>
      </c>
      <c r="D44" s="814">
        <v>416.86302190999999</v>
      </c>
      <c r="E44" s="622"/>
    </row>
    <row r="45" spans="1:5" ht="12" customHeight="1">
      <c r="A45" s="586"/>
      <c r="C45" s="1285" t="str">
        <f>IF(Indice_index!$Z$1=1,"Testes COVID-19","COVID-19 tests ")</f>
        <v>Testes COVID-19</v>
      </c>
      <c r="D45" s="814">
        <v>307.41363743000005</v>
      </c>
      <c r="E45" s="622"/>
    </row>
    <row r="46" spans="1:5" ht="12" customHeight="1">
      <c r="A46" s="586"/>
      <c r="C46" s="1285" t="str">
        <f>IF(Indice_index!$Z$1=1,"Recursos humanos (contratações, horas extra e outros abonos)","Human resources (hiring, overtime and other allowances)")</f>
        <v>Recursos humanos (contratações, horas extra e outros abonos)</v>
      </c>
      <c r="D46" s="814">
        <v>264.82340629999999</v>
      </c>
      <c r="E46" s="622"/>
    </row>
    <row r="47" spans="1:5" ht="12" customHeight="1">
      <c r="A47" s="586"/>
      <c r="C47" s="1285" t="str">
        <f>IF(Indice_index!$Z$1=1,"EPI, medicamentos e outros","Personal protective equipment, medicines and others")</f>
        <v>EPI, medicamentos e outros</v>
      </c>
      <c r="D47" s="814">
        <v>130.95786416800001</v>
      </c>
      <c r="E47" s="622"/>
    </row>
    <row r="48" spans="1:5" ht="12" customHeight="1">
      <c r="A48" s="586"/>
      <c r="C48" s="1285" t="str">
        <f>IF(Indice_index!$Z$1=1,"Equipamentos e outros","Equipment and others")</f>
        <v>Equipamentos e outros</v>
      </c>
      <c r="D48" s="1286">
        <v>28.843793560000002</v>
      </c>
      <c r="E48" s="622"/>
    </row>
    <row r="49" spans="1:12" ht="12" customHeight="1">
      <c r="A49" s="586"/>
      <c r="C49" s="1290" t="str">
        <f>IF(Indice_index!$Z$1=1,"Outros","Other benefits")</f>
        <v>Outros</v>
      </c>
      <c r="D49" s="1289">
        <f>SUM(D50:D57)</f>
        <v>731.98355058700008</v>
      </c>
      <c r="E49" s="622"/>
    </row>
    <row r="50" spans="1:12" ht="12" customHeight="1">
      <c r="A50" s="586"/>
      <c r="C50" s="1285" t="str">
        <f>IF(Indice_index!$Z$1=1,"Universalização da escola digital","Universalization of the digital school")</f>
        <v>Universalização da escola digital</v>
      </c>
      <c r="D50" s="814">
        <v>213.12224333</v>
      </c>
      <c r="E50" s="622"/>
    </row>
    <row r="51" spans="1:12" ht="12" customHeight="1">
      <c r="A51" s="586"/>
      <c r="C51" s="1285" t="str">
        <f>IF(Indice_index!$Z$1=1,"Programa de Apoio a Edifícios Mais Sustentáveis","More Sustainable Building Support Program")</f>
        <v>Programa de Apoio a Edifícios Mais Sustentáveis</v>
      </c>
      <c r="D51" s="1286">
        <v>105.88241286</v>
      </c>
      <c r="E51" s="622"/>
    </row>
    <row r="52" spans="1:12" ht="12" customHeight="1">
      <c r="A52" s="586"/>
      <c r="C52" s="1285" t="str">
        <f>IF(Indice_index!$Z$1=1,"Recursos humanos (contratações, horas extra e outros abonos)","Human resources (hiring, overtime and other allowances)")</f>
        <v>Recursos humanos (contratações, horas extra e outros abonos)</v>
      </c>
      <c r="D52" s="814">
        <v>28.252485660000005</v>
      </c>
      <c r="E52" s="622"/>
    </row>
    <row r="53" spans="1:12" ht="12" customHeight="1">
      <c r="A53" s="586"/>
      <c r="C53" s="1291" t="str">
        <f>IF(Indice_index!$Z$1=1,"EPI, adaptação dos locais de trabalho, produtos e serviços de limpeza","Other sectors: personal protective equipment, workplaces adaptation, cleaning products and services")</f>
        <v>EPI, adaptação dos locais de trabalho, produtos e serviços de limpeza</v>
      </c>
      <c r="D53" s="814">
        <v>34.273290929999995</v>
      </c>
      <c r="E53" s="622"/>
    </row>
    <row r="54" spans="1:12" ht="12.75" customHeight="1">
      <c r="A54" s="586"/>
      <c r="C54" s="1285" t="str">
        <f>IF(Indice_index!$Z$1=1,"Reforço de emergência de equipamentos sociais e de saúde","Emergency reinforcement of social and health facilities")</f>
        <v>Reforço de emergência de equipamentos sociais e de saúde</v>
      </c>
      <c r="D54" s="814">
        <v>10.763711030000001</v>
      </c>
      <c r="E54" s="622"/>
    </row>
    <row r="55" spans="1:12" ht="12" customHeight="1">
      <c r="A55" s="586"/>
      <c r="C55" s="1285" t="str">
        <f>IF(Indice_index!$Z$1=1,"Programa Vale Eficiência ","Financial support program for energy efficiency")</f>
        <v xml:space="preserve">Programa Vale Eficiência </v>
      </c>
      <c r="D55" s="814">
        <v>14.598515259999999</v>
      </c>
      <c r="E55" s="622"/>
    </row>
    <row r="56" spans="1:12" ht="12" customHeight="1">
      <c r="A56" s="586"/>
      <c r="C56" s="1285" t="s">
        <v>599</v>
      </c>
      <c r="D56" s="814">
        <v>4.8803939999999999</v>
      </c>
      <c r="E56" s="622"/>
    </row>
    <row r="57" spans="1:12" ht="12" customHeight="1">
      <c r="A57" s="586"/>
      <c r="C57" s="1285" t="str">
        <f>IF(Indice_index!$Z$1=1,"Outras despesas","Other expenditures")</f>
        <v>Outras despesas</v>
      </c>
      <c r="D57" s="814">
        <v>320.21049751700002</v>
      </c>
      <c r="E57" s="622"/>
      <c r="F57" s="683"/>
    </row>
    <row r="58" spans="1:12" ht="3" customHeight="1">
      <c r="A58" s="586"/>
      <c r="C58" s="1292"/>
      <c r="D58" s="814"/>
      <c r="E58" s="601"/>
    </row>
    <row r="59" spans="1:12" ht="12" customHeight="1">
      <c r="C59" s="1275" t="str">
        <f>IF(Indice_index!$Z$1=1,"Despesa ","Expenditure")</f>
        <v xml:space="preserve">Despesa </v>
      </c>
      <c r="D59" s="1273">
        <f>+D49+D43+D34+D17</f>
        <v>3676.822908565</v>
      </c>
      <c r="E59" s="614"/>
      <c r="F59" s="613"/>
      <c r="G59" s="595"/>
      <c r="H59" s="595"/>
      <c r="I59" s="595"/>
    </row>
    <row r="60" spans="1:12" ht="6.6" customHeight="1">
      <c r="C60" s="1275"/>
      <c r="D60" s="1273"/>
      <c r="E60" s="602"/>
      <c r="F60" s="595"/>
      <c r="G60" s="595"/>
      <c r="H60" s="595"/>
      <c r="I60" s="595"/>
    </row>
    <row r="61" spans="1:12" ht="12" customHeight="1">
      <c r="A61" s="586"/>
      <c r="C61" s="1275" t="str">
        <f>IF(Indice_index!$Z$1=1,"Linhas de apoio","Benefits line")</f>
        <v>Linhas de apoio</v>
      </c>
      <c r="D61" s="1273">
        <f>SUM(D62:D63)</f>
        <v>46.931244910000004</v>
      </c>
      <c r="E61" s="600"/>
      <c r="F61" s="594"/>
      <c r="G61" s="594"/>
      <c r="H61" s="594"/>
      <c r="I61" s="594"/>
      <c r="J61" s="419"/>
      <c r="K61" s="419"/>
      <c r="L61" s="419"/>
    </row>
    <row r="62" spans="1:12" ht="12" customHeight="1">
      <c r="A62" s="586"/>
      <c r="C62" s="1293" t="str">
        <f>IF(Indice_index!$Z$1=1,"Linha de apoio tesouraria MPE","Treasury support line for SME")</f>
        <v>Linha de apoio tesouraria MPE</v>
      </c>
      <c r="D62" s="814">
        <v>33.796494910000007</v>
      </c>
      <c r="E62" s="603"/>
      <c r="F62" s="596"/>
      <c r="G62" s="596"/>
      <c r="H62" s="596"/>
      <c r="I62" s="594"/>
      <c r="J62" s="419"/>
      <c r="K62" s="419"/>
      <c r="L62" s="419"/>
    </row>
    <row r="63" spans="1:12" ht="12" customHeight="1">
      <c r="A63" s="586"/>
      <c r="C63" s="1293" t="str">
        <f>IF(Indice_index!$Z$1=1,"Outros apoios","Other benefits")</f>
        <v>Outros apoios</v>
      </c>
      <c r="D63" s="814">
        <v>13.13475</v>
      </c>
      <c r="E63" s="603"/>
      <c r="F63" s="596"/>
      <c r="G63" s="596"/>
      <c r="H63" s="596"/>
      <c r="I63" s="594"/>
      <c r="J63" s="419"/>
      <c r="K63" s="419"/>
      <c r="L63" s="419"/>
    </row>
    <row r="64" spans="1:12" ht="12" customHeight="1">
      <c r="C64" s="1275" t="str">
        <f>IF(Indice_index!$Z$1=1,"Total das linhas","Total Benefits line")</f>
        <v>Total das linhas</v>
      </c>
      <c r="D64" s="1273">
        <f>SUM(D62:D63)</f>
        <v>46.931244910000004</v>
      </c>
      <c r="E64" s="600"/>
      <c r="F64" s="594"/>
      <c r="G64" s="594"/>
      <c r="H64" s="594"/>
      <c r="I64" s="594"/>
      <c r="J64" s="419"/>
      <c r="K64" s="419"/>
      <c r="L64" s="419"/>
    </row>
    <row r="65" spans="3:19" ht="3" customHeight="1">
      <c r="C65" s="1294"/>
      <c r="D65" s="1295"/>
      <c r="E65" s="600"/>
      <c r="F65" s="594"/>
      <c r="G65" s="594"/>
      <c r="H65" s="594"/>
      <c r="I65" s="594"/>
      <c r="J65" s="419"/>
      <c r="K65" s="419"/>
      <c r="L65" s="419"/>
    </row>
    <row r="66" spans="3:19" ht="12" customHeight="1">
      <c r="C66" s="1275" t="str">
        <f>IF(Indice_index!$Z$1=1,"Montante Global de despesa ","Global expenditure amount")</f>
        <v xml:space="preserve">Montante Global de despesa </v>
      </c>
      <c r="D66" s="1273">
        <f>+D64+D59</f>
        <v>3723.7541534749998</v>
      </c>
      <c r="E66" s="624"/>
      <c r="F66" s="605"/>
      <c r="G66" s="594"/>
      <c r="H66" s="594"/>
      <c r="I66" s="594"/>
      <c r="J66" s="419"/>
      <c r="K66" s="419"/>
      <c r="L66" s="419"/>
    </row>
    <row r="67" spans="3:19" ht="3.75" customHeight="1">
      <c r="C67" s="1296"/>
      <c r="D67" s="1296" t="b">
        <f>D66='4 - Medidas COVID-19 Subsetores'!I87</f>
        <v>1</v>
      </c>
      <c r="E67" s="601"/>
      <c r="F67" s="595"/>
      <c r="G67" s="595"/>
      <c r="H67" s="595"/>
      <c r="I67" s="595"/>
    </row>
    <row r="68" spans="3:19">
      <c r="C68" s="1297" t="str">
        <f>IF(Indice_index!$Z$1=1,"Notas:","Notes:")</f>
        <v>Notas:</v>
      </c>
      <c r="D68" s="1608"/>
      <c r="E68" s="597"/>
    </row>
    <row r="69" spans="3:19" ht="86.25" customHeight="1">
      <c r="C69" s="170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normalidade'"&amp;C160,C161)</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69" s="1706"/>
      <c r="E69" s="607"/>
    </row>
    <row r="70" spans="3:19" ht="28.5" customHeight="1">
      <c r="C70" s="170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70" s="1707"/>
      <c r="E70" s="606"/>
      <c r="H70" s="1706"/>
      <c r="I70" s="1706"/>
    </row>
    <row r="71" spans="3:19" ht="33" customHeight="1">
      <c r="C71" s="170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71" s="1706"/>
      <c r="E71" s="607"/>
    </row>
    <row r="72" spans="3:19" ht="31.5" customHeight="1">
      <c r="C72" s="1709"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72" s="1709"/>
      <c r="E72" s="643"/>
      <c r="F72" s="643"/>
      <c r="G72" s="643"/>
      <c r="H72" s="643"/>
    </row>
    <row r="73" spans="3:19" s="22" customFormat="1" ht="22.5" hidden="1" customHeight="1">
      <c r="C73" s="1708"/>
      <c r="D73" s="1708"/>
      <c r="E73" s="62"/>
      <c r="F73" s="62"/>
      <c r="G73" s="62"/>
      <c r="H73" s="62"/>
      <c r="I73" s="62"/>
      <c r="J73" s="62"/>
      <c r="K73" s="62"/>
      <c r="R73" s="24"/>
      <c r="S73" s="24"/>
    </row>
    <row r="74" spans="3:19" ht="6.75" customHeight="1">
      <c r="C74" s="1298"/>
      <c r="D74" s="1298"/>
      <c r="E74" s="600"/>
    </row>
    <row r="75" spans="3:19">
      <c r="C75" s="1299" t="s">
        <v>586</v>
      </c>
      <c r="D75" s="1298"/>
      <c r="E75" s="600"/>
    </row>
    <row r="76" spans="3:19" ht="50.25" customHeight="1">
      <c r="C76" s="1706" t="str">
        <f>IF(Indice_index!$Z$1=1,"Direção-Geral do Orçamento, Autoridade Tributária e Aduaneira, Ministério das Finanças, Instituto de Gestão Financeira da Segurança Social, I.P."&amp;C80,"Budget General Directorate, Tax and Customs Authority, Ministry of Finance, Social Security Finance Management Institute"&amp;C81)</f>
        <v>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v>
      </c>
      <c r="D76" s="1706"/>
      <c r="E76" s="607"/>
    </row>
    <row r="77" spans="3:19">
      <c r="C77" s="420"/>
      <c r="D77" s="420"/>
    </row>
    <row r="78" spans="3:19">
      <c r="C78" s="420"/>
      <c r="D78" s="420"/>
    </row>
    <row r="79" spans="3:19">
      <c r="C79" s="420"/>
      <c r="D79" s="420"/>
    </row>
    <row r="80" spans="3:19">
      <c r="C80" s="557" t="s">
        <v>594</v>
      </c>
      <c r="D80" s="420"/>
    </row>
    <row r="81" spans="3:9">
      <c r="C81" s="557" t="s">
        <v>595</v>
      </c>
      <c r="D81" s="420"/>
    </row>
    <row r="82" spans="3:9">
      <c r="C82" s="420"/>
      <c r="D82" s="420"/>
    </row>
    <row r="83" spans="3:9">
      <c r="C83" s="420"/>
      <c r="D83" s="420"/>
    </row>
    <row r="84" spans="3:9">
      <c r="C84" s="420"/>
      <c r="D84" s="420"/>
    </row>
    <row r="85" spans="3:9">
      <c r="C85" s="420"/>
      <c r="D85" s="420"/>
    </row>
    <row r="86" spans="3:9">
      <c r="C86" s="420"/>
      <c r="D86" s="420"/>
    </row>
    <row r="87" spans="3:9">
      <c r="C87" s="420"/>
      <c r="D87" s="420"/>
      <c r="E87" s="598"/>
      <c r="F87" s="644"/>
      <c r="G87" s="644"/>
      <c r="H87" s="644"/>
      <c r="I87" s="644"/>
    </row>
    <row r="88" spans="3:9">
      <c r="C88" s="420"/>
      <c r="D88" s="420"/>
      <c r="E88" s="598"/>
      <c r="F88" s="644"/>
      <c r="G88" s="644"/>
      <c r="H88" s="644"/>
      <c r="I88" s="644"/>
    </row>
    <row r="89" spans="3:9">
      <c r="C89" s="420"/>
      <c r="D89" s="420"/>
      <c r="E89" s="598"/>
      <c r="F89" s="644"/>
      <c r="G89" s="644"/>
      <c r="H89" s="644"/>
      <c r="I89" s="644"/>
    </row>
    <row r="90" spans="3:9">
      <c r="C90" s="420"/>
      <c r="D90" s="420"/>
      <c r="E90" s="598"/>
      <c r="F90" s="644"/>
      <c r="G90" s="644"/>
      <c r="H90" s="644"/>
      <c r="I90" s="644"/>
    </row>
    <row r="91" spans="3:9">
      <c r="C91" s="420"/>
      <c r="D91" s="420"/>
      <c r="E91" s="598"/>
      <c r="F91" s="644"/>
      <c r="G91" s="644"/>
      <c r="H91" s="644"/>
      <c r="I91" s="644"/>
    </row>
    <row r="92" spans="3:9">
      <c r="C92" s="420"/>
      <c r="D92" s="420"/>
      <c r="E92" s="598"/>
      <c r="F92" s="644"/>
      <c r="G92" s="644"/>
      <c r="H92" s="644"/>
      <c r="I92" s="644"/>
    </row>
    <row r="93" spans="3:9">
      <c r="C93" s="420"/>
      <c r="D93" s="420"/>
      <c r="E93" s="598"/>
      <c r="F93" s="644"/>
      <c r="G93" s="644"/>
      <c r="H93" s="644"/>
      <c r="I93" s="644"/>
    </row>
    <row r="94" spans="3:9">
      <c r="C94" s="420"/>
      <c r="D94" s="420"/>
      <c r="E94" s="598"/>
      <c r="F94" s="644"/>
      <c r="G94" s="644"/>
      <c r="H94" s="644"/>
      <c r="I94" s="644"/>
    </row>
    <row r="95" spans="3:9">
      <c r="C95" s="420"/>
      <c r="D95" s="420"/>
      <c r="E95" s="598"/>
      <c r="F95" s="644"/>
      <c r="G95" s="644"/>
      <c r="H95" s="644"/>
      <c r="I95" s="644"/>
    </row>
    <row r="96" spans="3:9">
      <c r="C96" s="420"/>
      <c r="D96" s="420"/>
      <c r="E96" s="598"/>
      <c r="F96" s="644"/>
      <c r="G96" s="644"/>
      <c r="H96" s="644"/>
      <c r="I96" s="644"/>
    </row>
    <row r="97" spans="3:9">
      <c r="C97" s="420"/>
      <c r="D97" s="420"/>
      <c r="E97" s="598"/>
      <c r="F97" s="644"/>
      <c r="G97" s="644"/>
      <c r="H97" s="644"/>
      <c r="I97" s="644"/>
    </row>
    <row r="98" spans="3:9">
      <c r="C98" s="420"/>
      <c r="D98" s="420"/>
    </row>
    <row r="99" spans="3:9">
      <c r="C99" s="420"/>
      <c r="D99" s="420"/>
    </row>
    <row r="100" spans="3:9">
      <c r="C100" s="420"/>
      <c r="D100" s="420"/>
    </row>
    <row r="101" spans="3:9">
      <c r="C101" s="420"/>
      <c r="D101" s="420"/>
    </row>
    <row r="102" spans="3:9">
      <c r="C102" s="420"/>
      <c r="D102" s="420"/>
    </row>
    <row r="103" spans="3:9">
      <c r="C103" s="420"/>
      <c r="D103" s="420"/>
    </row>
    <row r="104" spans="3:9">
      <c r="C104" s="420"/>
      <c r="D104" s="420"/>
    </row>
    <row r="105" spans="3:9">
      <c r="C105" s="420"/>
      <c r="D105" s="420"/>
    </row>
    <row r="106" spans="3:9">
      <c r="C106" s="420"/>
      <c r="D106" s="420"/>
    </row>
    <row r="107" spans="3:9">
      <c r="C107" s="420"/>
      <c r="D107" s="420"/>
    </row>
    <row r="108" spans="3:9">
      <c r="C108" s="420"/>
      <c r="D108" s="420"/>
    </row>
    <row r="109" spans="3:9">
      <c r="C109" s="420"/>
      <c r="D109" s="420"/>
    </row>
    <row r="110" spans="3:9">
      <c r="C110" s="420"/>
      <c r="D110" s="420"/>
    </row>
    <row r="111" spans="3:9">
      <c r="C111" s="420"/>
      <c r="D111" s="420"/>
    </row>
    <row r="112" spans="3:9">
      <c r="C112" s="420"/>
      <c r="D112" s="420"/>
    </row>
    <row r="113" spans="3:4">
      <c r="C113" s="420"/>
      <c r="D113" s="420"/>
    </row>
    <row r="114" spans="3:4">
      <c r="C114" s="420"/>
      <c r="D114" s="420"/>
    </row>
    <row r="115" spans="3:4">
      <c r="C115" s="420"/>
      <c r="D115" s="420"/>
    </row>
    <row r="116" spans="3:4">
      <c r="C116" s="420"/>
      <c r="D116" s="420"/>
    </row>
    <row r="117" spans="3:4">
      <c r="C117" s="420"/>
      <c r="D117" s="420"/>
    </row>
    <row r="118" spans="3:4">
      <c r="C118" s="420"/>
      <c r="D118" s="420"/>
    </row>
    <row r="119" spans="3:4">
      <c r="C119" s="420"/>
      <c r="D119" s="420"/>
    </row>
    <row r="120" spans="3:4">
      <c r="C120" s="420"/>
      <c r="D120" s="420"/>
    </row>
    <row r="121" spans="3:4">
      <c r="C121" s="420"/>
      <c r="D121" s="420"/>
    </row>
    <row r="122" spans="3:4">
      <c r="C122" s="420"/>
      <c r="D122" s="420"/>
    </row>
    <row r="123" spans="3:4">
      <c r="C123" s="420"/>
      <c r="D123" s="420"/>
    </row>
    <row r="124" spans="3:4">
      <c r="C124" s="420"/>
      <c r="D124" s="420"/>
    </row>
    <row r="125" spans="3:4">
      <c r="C125" s="420"/>
      <c r="D125" s="420"/>
    </row>
    <row r="126" spans="3:4">
      <c r="C126" s="420"/>
      <c r="D126" s="420"/>
    </row>
    <row r="127" spans="3:4">
      <c r="C127" s="420"/>
      <c r="D127" s="420"/>
    </row>
    <row r="128" spans="3:4">
      <c r="C128" s="420"/>
      <c r="D128" s="420"/>
    </row>
    <row r="129" spans="3:4">
      <c r="C129" s="420"/>
      <c r="D129" s="420"/>
    </row>
    <row r="130" spans="3:4">
      <c r="C130" s="420"/>
      <c r="D130" s="420"/>
    </row>
    <row r="131" spans="3:4">
      <c r="C131" s="420"/>
      <c r="D131" s="420"/>
    </row>
    <row r="132" spans="3:4">
      <c r="C132" s="420"/>
      <c r="D132" s="420"/>
    </row>
    <row r="133" spans="3:4">
      <c r="C133" s="420"/>
      <c r="D133" s="420"/>
    </row>
    <row r="134" spans="3:4">
      <c r="C134" s="420"/>
      <c r="D134" s="420"/>
    </row>
    <row r="135" spans="3:4">
      <c r="C135" s="420"/>
      <c r="D135" s="420"/>
    </row>
    <row r="136" spans="3:4">
      <c r="C136" s="420"/>
      <c r="D136" s="420"/>
    </row>
    <row r="137" spans="3:4">
      <c r="C137" s="420"/>
      <c r="D137" s="420"/>
    </row>
    <row r="138" spans="3:4">
      <c r="C138" s="420"/>
      <c r="D138" s="420"/>
    </row>
    <row r="139" spans="3:4">
      <c r="C139" s="420"/>
      <c r="D139" s="420"/>
    </row>
    <row r="140" spans="3:4">
      <c r="C140" s="420"/>
      <c r="D140" s="420"/>
    </row>
    <row r="141" spans="3:4">
      <c r="C141" s="420"/>
      <c r="D141" s="420"/>
    </row>
    <row r="142" spans="3:4">
      <c r="C142" s="420"/>
      <c r="D142" s="420"/>
    </row>
    <row r="143" spans="3:4">
      <c r="C143" s="420"/>
      <c r="D143" s="420"/>
    </row>
    <row r="144" spans="3:4">
      <c r="C144" s="420"/>
      <c r="D144" s="420"/>
    </row>
    <row r="145" spans="3:4">
      <c r="C145" s="420"/>
      <c r="D145" s="420"/>
    </row>
    <row r="160" spans="3:4">
      <c r="C160" s="557" t="s">
        <v>68</v>
      </c>
    </row>
    <row r="161" spans="3:3">
      <c r="C161" s="557" t="s">
        <v>69</v>
      </c>
    </row>
  </sheetData>
  <mergeCells count="11">
    <mergeCell ref="C71:D71"/>
    <mergeCell ref="C76:D76"/>
    <mergeCell ref="C4:I4"/>
    <mergeCell ref="C73:D73"/>
    <mergeCell ref="C72:D72"/>
    <mergeCell ref="H70:I70"/>
    <mergeCell ref="A7:A8"/>
    <mergeCell ref="F7:L7"/>
    <mergeCell ref="C2:D2"/>
    <mergeCell ref="C69:D69"/>
    <mergeCell ref="C70:D70"/>
  </mergeCells>
  <conditionalFormatting sqref="E62:E63 D9:D11 D13 D41:D58 D17:D39">
    <cfRule type="cellIs" dxfId="124" priority="23" operator="equal">
      <formula>0</formula>
    </cfRule>
  </conditionalFormatting>
  <conditionalFormatting sqref="D13">
    <cfRule type="cellIs" dxfId="123" priority="18" operator="equal">
      <formula>0</formula>
    </cfRule>
  </conditionalFormatting>
  <conditionalFormatting sqref="D38:D39">
    <cfRule type="cellIs" dxfId="122" priority="19" operator="equal">
      <formula>0</formula>
    </cfRule>
  </conditionalFormatting>
  <conditionalFormatting sqref="F62:H63">
    <cfRule type="cellIs" dxfId="121" priority="17" operator="equal">
      <formula>0</formula>
    </cfRule>
  </conditionalFormatting>
  <conditionalFormatting sqref="D63">
    <cfRule type="cellIs" dxfId="120" priority="9" operator="equal">
      <formula>0</formula>
    </cfRule>
  </conditionalFormatting>
  <conditionalFormatting sqref="D12:D13">
    <cfRule type="cellIs" dxfId="119" priority="13" operator="equal">
      <formula>0</formula>
    </cfRule>
  </conditionalFormatting>
  <conditionalFormatting sqref="D40">
    <cfRule type="cellIs" dxfId="118" priority="8" operator="equal">
      <formula>0</formula>
    </cfRule>
  </conditionalFormatting>
  <conditionalFormatting sqref="D62">
    <cfRule type="cellIs" dxfId="117" priority="1"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83"/>
  <sheetViews>
    <sheetView showGridLines="0" zoomScaleNormal="100" zoomScaleSheetLayoutView="100" workbookViewId="0">
      <selection activeCell="B2" sqref="B2"/>
    </sheetView>
  </sheetViews>
  <sheetFormatPr defaultColWidth="9.140625" defaultRowHeight="12.75"/>
  <cols>
    <col min="1" max="1" width="2.5703125" style="419" customWidth="1"/>
    <col min="2" max="2" width="4.42578125" style="419" customWidth="1"/>
    <col min="3" max="3" width="53.140625" style="420" customWidth="1"/>
    <col min="4" max="4" width="28.140625" style="420" customWidth="1"/>
    <col min="5" max="9" width="7.42578125" style="438" customWidth="1"/>
    <col min="10" max="10" width="12.85546875" style="617" bestFit="1" customWidth="1"/>
    <col min="11" max="11" width="47.140625" style="419" customWidth="1"/>
    <col min="12" max="12" width="9.140625" style="419"/>
    <col min="13" max="14" width="9.140625" style="447"/>
    <col min="15" max="15" width="9.140625" style="419"/>
    <col min="16" max="16" width="10.5703125" style="419" bestFit="1" customWidth="1"/>
    <col min="17" max="17" width="15.42578125" style="419" bestFit="1" customWidth="1"/>
    <col min="18" max="18" width="19.42578125" style="419" bestFit="1" customWidth="1"/>
    <col min="19" max="19" width="9.85546875" style="419" bestFit="1" customWidth="1"/>
    <col min="20" max="20" width="9.140625" style="419"/>
    <col min="21" max="21" width="10.85546875" style="419" bestFit="1" customWidth="1"/>
    <col min="22" max="16384" width="9.140625" style="419"/>
  </cols>
  <sheetData>
    <row r="1" spans="1:18" ht="15" customHeight="1"/>
    <row r="2" spans="1:18" s="189" customFormat="1" ht="38.450000000000003" customHeight="1">
      <c r="B2" s="8"/>
      <c r="C2" s="1705"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D2" s="1705"/>
      <c r="E2" s="1705"/>
      <c r="F2" s="1705"/>
      <c r="G2" s="1705"/>
      <c r="H2" s="1705"/>
      <c r="I2" s="1705"/>
      <c r="J2" s="618"/>
      <c r="K2" s="354"/>
      <c r="L2" s="200"/>
      <c r="M2" s="445"/>
      <c r="N2" s="446"/>
      <c r="O2" s="190"/>
      <c r="P2" s="188"/>
      <c r="Q2" s="188"/>
      <c r="R2" s="202"/>
    </row>
    <row r="3" spans="1:18" s="189" customFormat="1" ht="15" customHeight="1">
      <c r="D3" s="504"/>
      <c r="E3" s="354"/>
      <c r="F3" s="354"/>
      <c r="G3" s="354"/>
      <c r="H3" s="354"/>
      <c r="I3" s="354"/>
      <c r="J3" s="618"/>
      <c r="K3" s="354"/>
      <c r="L3" s="188"/>
      <c r="M3" s="445"/>
      <c r="N3" s="446"/>
      <c r="O3" s="190"/>
      <c r="P3" s="188"/>
      <c r="Q3" s="188"/>
      <c r="R3" s="188"/>
    </row>
    <row r="4" spans="1:18" s="189" customFormat="1" ht="15" customHeight="1">
      <c r="C4" s="1704"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704"/>
      <c r="E4" s="1704"/>
      <c r="F4" s="1704"/>
      <c r="G4" s="1704"/>
      <c r="H4" s="1704"/>
      <c r="I4" s="1704"/>
      <c r="J4" s="618"/>
      <c r="K4" s="354"/>
      <c r="L4" s="188"/>
      <c r="M4" s="445"/>
      <c r="N4" s="446"/>
      <c r="O4" s="190"/>
      <c r="P4" s="188"/>
      <c r="Q4" s="188"/>
      <c r="R4" s="188"/>
    </row>
    <row r="5" spans="1:18" ht="15" customHeight="1">
      <c r="A5" s="420"/>
      <c r="B5" s="420"/>
      <c r="J5" s="619"/>
    </row>
    <row r="6" spans="1:18" ht="15" customHeight="1">
      <c r="A6" s="420"/>
      <c r="B6" s="420"/>
      <c r="C6" s="1209" t="str">
        <f>+'5 - Conta AC + SS'!C5</f>
        <v>Período: janeiro a dezembro</v>
      </c>
      <c r="D6" s="1209"/>
      <c r="E6" s="1209"/>
      <c r="F6" s="1209"/>
      <c r="G6" s="1209"/>
      <c r="H6" s="1209"/>
      <c r="I6" s="1209" t="str">
        <f>IF(Indice_index!$Z$1=1,"€ Milhões","€ Millions")</f>
        <v>€ Milhões</v>
      </c>
      <c r="J6" s="619"/>
    </row>
    <row r="7" spans="1:18" ht="36" customHeight="1">
      <c r="A7" s="420"/>
      <c r="B7" s="420"/>
      <c r="C7" s="1276" t="str">
        <f>IF(Indice_index!$Z$1=1,"Medida COVID-19","COVID-19 Policy Measure")</f>
        <v>Medida COVID-19</v>
      </c>
      <c r="D7" s="1277" t="str">
        <f>IF(Indice_index!$Z$1=1,"Classificação económica","Economic classification")</f>
        <v>Classificação económica</v>
      </c>
      <c r="E7" s="1280" t="str">
        <f>IF(Indice_index!$Z$1=1,"Adm. Central","Central Government")</f>
        <v>Adm. Central</v>
      </c>
      <c r="F7" s="1280" t="str">
        <f>IF(Indice_index!$Z$1=1,"Seg.  Social","Social Security")</f>
        <v>Seg.  Social</v>
      </c>
      <c r="G7" s="1280" t="str">
        <f>IF(Indice_index!$Z$1=1,"Adm. Regional","Regional Government")</f>
        <v>Adm. Regional</v>
      </c>
      <c r="H7" s="1280" t="str">
        <f>IF(Indice_index!$Z$1=1,"Adm. Local","Local Government")</f>
        <v>Adm. Local</v>
      </c>
      <c r="I7" s="1600" t="s">
        <v>66</v>
      </c>
      <c r="J7" s="619"/>
    </row>
    <row r="8" spans="1:18" ht="15" hidden="1" customHeight="1">
      <c r="A8" s="420"/>
      <c r="B8" s="420"/>
      <c r="C8" s="464" t="str">
        <f>IF(Indice_index!$Z$1=1,"Limitação extraordinária de pagamentos por conta em sede de IRS ou IRC","Extraordinary limitation of prepayments related with IRS or IRC")</f>
        <v>Limitação extraordinária de pagamentos por conta em sede de IRS ou IRC</v>
      </c>
      <c r="D8" s="813" t="str">
        <f>IF(Indice_index!$Z$1=1,"R.01 - Imp. Diretos","R.01 - Direct taxes")</f>
        <v>R.01 - Imp. Diretos</v>
      </c>
      <c r="E8" s="814"/>
      <c r="F8" s="815"/>
      <c r="G8" s="815"/>
      <c r="H8" s="815"/>
      <c r="I8" s="816">
        <f>SUM(E8:H8)</f>
        <v>0</v>
      </c>
      <c r="J8" s="619"/>
    </row>
    <row r="9" spans="1:18" ht="15" customHeight="1">
      <c r="A9" s="420"/>
      <c r="B9" s="420"/>
      <c r="C9" s="464" t="str">
        <f>IF(Indice_index!$Z$1=1,"Prorrogação do pagamento do IVA","Extension of VAT payment")</f>
        <v>Prorrogação do pagamento do IVA</v>
      </c>
      <c r="D9" s="813" t="str">
        <f>IF(Indice_index!$Z$1=1,"R.02 - Imp. Indiretos","R.02 - Indirect taxes")</f>
        <v>R.02 - Imp. Indiretos</v>
      </c>
      <c r="E9" s="816">
        <v>507.51917323999999</v>
      </c>
      <c r="F9" s="815"/>
      <c r="G9" s="815"/>
      <c r="H9" s="815"/>
      <c r="I9" s="816">
        <f>SUM(E9:H9)</f>
        <v>507.51917323999999</v>
      </c>
      <c r="J9" s="619"/>
    </row>
    <row r="10" spans="1:18" ht="15" customHeight="1">
      <c r="A10" s="420"/>
      <c r="B10" s="420"/>
      <c r="C10" s="464" t="str">
        <f>IF(Indice_index!$Z$1=1,"Isenção de pagamento da Taxa Social Única (estimativa)","Exemption from payment of the social security contributions (estimate)")</f>
        <v>Isenção de pagamento da Taxa Social Única (estimativa)</v>
      </c>
      <c r="D10" s="813" t="str">
        <f>IF(Indice_index!$Z$1=1,"R.03 - Contrib. SS","R.03 - Contributions to the Social Security")</f>
        <v>R.03 - Contrib. SS</v>
      </c>
      <c r="E10" s="815"/>
      <c r="F10" s="815">
        <v>8.1017802556000014</v>
      </c>
      <c r="G10" s="815"/>
      <c r="H10" s="815"/>
      <c r="I10" s="816">
        <f>SUM(E10:H10)</f>
        <v>8.1017802556000014</v>
      </c>
      <c r="J10" s="619"/>
    </row>
    <row r="11" spans="1:18" ht="15" customHeight="1">
      <c r="A11" s="420"/>
      <c r="B11" s="420"/>
      <c r="C11" s="464" t="str">
        <f>IF(Indice_index!$Z$1=1,"Adiamento, redução ou isenção de rendas de imóveis","Postponement, reduction or exemption of property rents payment")</f>
        <v>Adiamento, redução ou isenção de rendas de imóveis</v>
      </c>
      <c r="D11" s="813" t="str">
        <f>IF(Indice_index!$Z$1=1,"R.07 - Vendas Bens e Serv.","R.07 - Sale of current goods and services")</f>
        <v>R.07 - Vendas Bens e Serv.</v>
      </c>
      <c r="E11" s="815"/>
      <c r="F11" s="815"/>
      <c r="G11" s="815">
        <v>3.0184720000000005E-2</v>
      </c>
      <c r="H11" s="815"/>
      <c r="I11" s="816">
        <f>SUM(E11:H11)</f>
        <v>3.0184720000000005E-2</v>
      </c>
      <c r="J11" s="619"/>
    </row>
    <row r="12" spans="1:18" ht="15" customHeight="1">
      <c r="A12" s="420"/>
      <c r="B12" s="420"/>
      <c r="C12" s="464" t="str">
        <f>IF(Indice_index!$Z$1=1,"Revenda de vacinas contra a COVID-19 a países terceiros","Resale of vaccines against COVID-19 to third countries")</f>
        <v>Revenda de vacinas contra a COVID-19 a países terceiros</v>
      </c>
      <c r="D12" s="813" t="str">
        <f>IF(Indice_index!$Z$1=1,"R.07 - Vendas Bens e Serv.","R.07 - Sale of current goods and services")</f>
        <v>R.07 - Vendas Bens e Serv.</v>
      </c>
      <c r="E12" s="815">
        <v>-39.724086960000001</v>
      </c>
      <c r="F12" s="815"/>
      <c r="G12" s="815"/>
      <c r="H12" s="815"/>
      <c r="I12" s="816">
        <f>SUM(E12:H12)</f>
        <v>-39.724086960000001</v>
      </c>
      <c r="J12" s="619"/>
    </row>
    <row r="13" spans="1:18" ht="4.5" customHeight="1">
      <c r="A13" s="420"/>
      <c r="B13" s="420"/>
      <c r="C13" s="813"/>
      <c r="D13" s="813"/>
      <c r="E13" s="816"/>
      <c r="F13" s="816"/>
      <c r="G13" s="816"/>
      <c r="H13" s="816"/>
      <c r="I13" s="816"/>
      <c r="J13" s="619"/>
    </row>
    <row r="14" spans="1:18" ht="15" customHeight="1">
      <c r="A14" s="420"/>
      <c r="B14" s="420"/>
      <c r="C14" s="1271" t="str">
        <f>IF(Indice_index!$Z$1=1,"Total da Receita efetiva","Total Effective revenue")</f>
        <v>Total da Receita efetiva</v>
      </c>
      <c r="D14" s="1271"/>
      <c r="E14" s="1273">
        <f>SUM(E8:E12)</f>
        <v>467.79508627999996</v>
      </c>
      <c r="F14" s="1273">
        <f>SUM(F8:F12)</f>
        <v>8.1017802556000014</v>
      </c>
      <c r="G14" s="1273">
        <f>SUM(G8:G12)</f>
        <v>3.0184720000000005E-2</v>
      </c>
      <c r="H14" s="1273">
        <f>SUM(H8:H12)</f>
        <v>0</v>
      </c>
      <c r="I14" s="1273">
        <f>SUM(E14:H14)</f>
        <v>475.92705125559996</v>
      </c>
      <c r="J14" s="619"/>
    </row>
    <row r="15" spans="1:18" ht="4.5" customHeight="1">
      <c r="A15" s="420"/>
      <c r="B15" s="420"/>
      <c r="J15" s="619"/>
    </row>
    <row r="16" spans="1:18" ht="15" customHeight="1">
      <c r="A16" s="420"/>
      <c r="B16" s="464"/>
      <c r="C16" s="464" t="str">
        <f>IF(Indice_index!$Z$1=1,"Saúde: Recursos humanos (contratações, horas extra e outros abonos)","Health: Human resources (hiring, overtime and other allowances)")</f>
        <v>Saúde: Recursos humanos (contratações, horas extra e outros abonos)</v>
      </c>
      <c r="D16" s="464" t="str">
        <f>IF(Indice_index!$Z$1=1,"D.01- Desp. c/ pessoal","D.01 - Employees")</f>
        <v>D.01- Desp. c/ pessoal</v>
      </c>
      <c r="E16" s="814">
        <v>226.58153178999999</v>
      </c>
      <c r="F16" s="814">
        <v>0</v>
      </c>
      <c r="G16" s="814">
        <v>38.241874510000002</v>
      </c>
      <c r="H16" s="814"/>
      <c r="I16" s="816">
        <f t="shared" ref="I16:I48" si="0">SUM(E16:H16)</f>
        <v>264.82340629999999</v>
      </c>
      <c r="J16" s="619"/>
    </row>
    <row r="17" spans="1:14" ht="15" customHeight="1">
      <c r="A17" s="420"/>
      <c r="B17" s="464"/>
      <c r="C17" s="464" t="str">
        <f>IF(Indice_index!$Z$1=1,"Recursos humanos (contratações, horas extra e outros abonos)","Human resources (hiring, overtime and other allowances)")</f>
        <v>Recursos humanos (contratações, horas extra e outros abonos)</v>
      </c>
      <c r="D17" s="464" t="str">
        <f>IF(Indice_index!$Z$1=1,"D.01- Desp. c/ pessoal","D.01 - Employees")</f>
        <v>D.01- Desp. c/ pessoal</v>
      </c>
      <c r="E17" s="814">
        <v>28.222455580000005</v>
      </c>
      <c r="F17" s="814">
        <v>8.9832199999999984E-3</v>
      </c>
      <c r="G17" s="814">
        <v>2.1046860000000001E-2</v>
      </c>
      <c r="H17" s="814"/>
      <c r="I17" s="816">
        <f t="shared" si="0"/>
        <v>28.252485660000005</v>
      </c>
      <c r="J17" s="619"/>
      <c r="K17" s="617"/>
    </row>
    <row r="18" spans="1:14" ht="15" customHeight="1">
      <c r="A18" s="420"/>
      <c r="B18" s="464"/>
      <c r="C18" s="464" t="s">
        <v>597</v>
      </c>
      <c r="D18" s="464" t="s">
        <v>598</v>
      </c>
      <c r="E18" s="814">
        <v>4.8803939999999999</v>
      </c>
      <c r="F18" s="814"/>
      <c r="G18" s="814"/>
      <c r="H18" s="814"/>
      <c r="I18" s="816">
        <f t="shared" si="0"/>
        <v>4.8803939999999999</v>
      </c>
      <c r="J18" s="619"/>
      <c r="K18" s="617"/>
    </row>
    <row r="19" spans="1:14" ht="15" customHeight="1">
      <c r="A19" s="420"/>
      <c r="B19" s="464"/>
      <c r="C19" s="464" t="str">
        <f>IF(Indice_index!$Z$1=1,"Saúde: aquisição de vacinas","Health: purchasing of vaccines")</f>
        <v>Saúde: aquisição de vacinas</v>
      </c>
      <c r="D19" s="464" t="str">
        <f>IF(Indice_index!$Z$1=1,"D.02 - Aq. Bens e Serv.","D.02 - Purchase of goods and services")</f>
        <v>D.02 - Aq. Bens e Serv.</v>
      </c>
      <c r="E19" s="814">
        <v>416.86302190999999</v>
      </c>
      <c r="F19" s="814"/>
      <c r="G19" s="814"/>
      <c r="H19" s="814"/>
      <c r="I19" s="816">
        <f t="shared" si="0"/>
        <v>416.86302190999999</v>
      </c>
      <c r="J19" s="619"/>
    </row>
    <row r="20" spans="1:14" ht="15" customHeight="1">
      <c r="A20" s="420"/>
      <c r="B20" s="464"/>
      <c r="C20" s="464" t="str">
        <f>IF(Indice_index!$Z$1=1,"Saúde: testes COVID-19","Health: COVID-19 tests ")</f>
        <v>Saúde: testes COVID-19</v>
      </c>
      <c r="D20" s="464" t="str">
        <f>IF(Indice_index!$Z$1=1,"D.02 - Aq. Bens e Serv.","D.02 - Purchase of goods and services")</f>
        <v>D.02 - Aq. Bens e Serv.</v>
      </c>
      <c r="E20" s="814">
        <v>285.88640329000003</v>
      </c>
      <c r="F20" s="814"/>
      <c r="G20" s="814">
        <v>12.33145545</v>
      </c>
      <c r="H20" s="814">
        <v>9.1957786899999991</v>
      </c>
      <c r="I20" s="816">
        <f t="shared" si="0"/>
        <v>307.41363743000005</v>
      </c>
      <c r="J20" s="619"/>
    </row>
    <row r="21" spans="1:14" ht="15" customHeight="1">
      <c r="A21" s="420"/>
      <c r="B21" s="464"/>
      <c r="C21" s="464" t="str">
        <f>IF(Indice_index!$Z$1=1,"Saúde: equipamentos de proteção individual (EPI), medicamentos e outros","Health: personal protective equipment, medicines and others")</f>
        <v>Saúde: equipamentos de proteção individual (EPI), medicamentos e outros</v>
      </c>
      <c r="D21" s="464" t="str">
        <f>IF(Indice_index!$Z$1=1,"D.02 - Aq. Bens e Serv.","D.02 - Purchase of goods and services")</f>
        <v>D.02 - Aq. Bens e Serv.</v>
      </c>
      <c r="E21" s="814">
        <v>106.94374312000004</v>
      </c>
      <c r="F21" s="814"/>
      <c r="G21" s="814">
        <v>11.941714089999998</v>
      </c>
      <c r="H21" s="814">
        <v>12.072406957999997</v>
      </c>
      <c r="I21" s="816">
        <f t="shared" si="0"/>
        <v>130.95786416800001</v>
      </c>
      <c r="J21" s="619"/>
    </row>
    <row r="22" spans="1:14" ht="15" customHeight="1">
      <c r="A22" s="420"/>
      <c r="B22" s="464"/>
      <c r="C22" s="464" t="str">
        <f>IF(Indice_index!$Z$1=1,"Programa Ativar - Formação","ATIVAR.PT Program - Training")</f>
        <v>Programa Ativar - Formação</v>
      </c>
      <c r="D22" s="464" t="str">
        <f>IF(Indice_index!$Z$1=1,"D.02 - Aq. Bens e Serv.","D.02 - Purchase of goods and services")</f>
        <v>D.02 - Aq. Bens e Serv.</v>
      </c>
      <c r="E22" s="814">
        <v>62.775421080000015</v>
      </c>
      <c r="F22" s="814"/>
      <c r="G22" s="814"/>
      <c r="H22" s="814"/>
      <c r="I22" s="816">
        <f t="shared" si="0"/>
        <v>62.775421080000015</v>
      </c>
      <c r="J22" s="619"/>
    </row>
    <row r="23" spans="1:14" ht="15" customHeight="1">
      <c r="A23" s="420"/>
      <c r="B23" s="464"/>
      <c r="C23" s="464" t="str">
        <f>IF(Indice_index!$Z$1=1,"EPI, adaptação dos locais de trabalho, produtos e serviços de limpeza","Other sectors: personal protective equipment, workplaces adaptation, cleaning products and services")</f>
        <v>EPI, adaptação dos locais de trabalho, produtos e serviços de limpeza</v>
      </c>
      <c r="D23" s="464" t="str">
        <f>IF(Indice_index!$Z$1=1,"D.02 - Aq. Bens e Serv.","D.02 - Purchase of goods and services")</f>
        <v>D.02 - Aq. Bens e Serv.</v>
      </c>
      <c r="E23" s="814">
        <v>14.824748009999992</v>
      </c>
      <c r="F23" s="814">
        <v>3.0379387699999998</v>
      </c>
      <c r="G23" s="814">
        <v>1.6818820000000002E-2</v>
      </c>
      <c r="H23" s="814">
        <v>16.393785330000004</v>
      </c>
      <c r="I23" s="816">
        <f t="shared" si="0"/>
        <v>34.273290929999995</v>
      </c>
      <c r="J23" s="619"/>
    </row>
    <row r="24" spans="1:14" ht="15" customHeight="1">
      <c r="A24" s="420"/>
      <c r="B24" s="464"/>
      <c r="C24" s="464" t="str">
        <f>IF(Indice_index!$Z$1=1,"Universalização da escola digital ","Universalization of the digital school")</f>
        <v xml:space="preserve">Universalização da escola digital </v>
      </c>
      <c r="D24" s="464" t="str">
        <f>IF(Indice_index!$Z$1=1,"D.02 - Aq. Bens e Serv.","D.02 - Purchase of goods and services")</f>
        <v>D.02 - Aq. Bens e Serv.</v>
      </c>
      <c r="E24" s="814">
        <v>1.4618549999999999</v>
      </c>
      <c r="F24" s="814"/>
      <c r="G24" s="814"/>
      <c r="H24" s="814"/>
      <c r="I24" s="816">
        <f t="shared" si="0"/>
        <v>1.4618549999999999</v>
      </c>
      <c r="J24" s="619"/>
    </row>
    <row r="25" spans="1:14" ht="15" customHeight="1">
      <c r="A25" s="420"/>
      <c r="B25" s="464"/>
      <c r="C25" s="464" t="str">
        <f>IF(Indice_index!$Z$1=1,"Outras Aquisições de Bens e Serviços","Other services and goods acquisitions")</f>
        <v>Outras Aquisições de Bens e Serviços</v>
      </c>
      <c r="D25" s="464" t="str">
        <f>IF(Indice_index!$Z$1=1,"D.02 - Aq. Bens e Serv.","D.02 - Purchase of goods and services")</f>
        <v>D.02 - Aq. Bens e Serv.</v>
      </c>
      <c r="E25" s="814">
        <v>27.849427300000006</v>
      </c>
      <c r="F25" s="814"/>
      <c r="G25" s="814">
        <v>0.85974630000000019</v>
      </c>
      <c r="H25" s="814">
        <v>2.4287556769999696</v>
      </c>
      <c r="I25" s="816">
        <f t="shared" si="0"/>
        <v>31.137929276999976</v>
      </c>
      <c r="J25" s="619"/>
      <c r="K25" s="617"/>
    </row>
    <row r="26" spans="1:14" ht="15" customHeight="1">
      <c r="A26" s="420"/>
      <c r="B26" s="464"/>
      <c r="C26" s="464" t="str">
        <f>IF(Indice_index!$Z$1=1,"Juros e outros encargos","Interests and other charges")</f>
        <v>Juros e outros encargos</v>
      </c>
      <c r="D26" s="464" t="str">
        <f>IF(Indice_index!$Z$1=1,"D.03 - Juros e outros encargos","D.03 - Interests and other charges")</f>
        <v>D.03 - Juros e outros encargos</v>
      </c>
      <c r="E26" s="814">
        <v>7.0887000000000001E-4</v>
      </c>
      <c r="F26" s="814"/>
      <c r="G26" s="814"/>
      <c r="H26" s="814"/>
      <c r="I26" s="816">
        <f t="shared" si="0"/>
        <v>7.0887000000000001E-4</v>
      </c>
      <c r="J26" s="619"/>
    </row>
    <row r="27" spans="1:14" ht="15" customHeight="1">
      <c r="A27" s="420"/>
      <c r="B27" s="464"/>
      <c r="C27" s="1278" t="str">
        <f>IF(Indice_index!$Z$1=1,"Isolamento profilático","Prophylactic isolation benefit")</f>
        <v>Isolamento profilático</v>
      </c>
      <c r="D27" s="1279" t="str">
        <f>IF(Indice_index!$Z$1=1,"D.04 - Transf. Correntes","D.04 - Current transfers")</f>
        <v>D.04 - Transf. Correntes</v>
      </c>
      <c r="E27" s="814" t="s">
        <v>504</v>
      </c>
      <c r="F27" s="814">
        <v>245.79870798999997</v>
      </c>
      <c r="G27" s="814"/>
      <c r="H27" s="814"/>
      <c r="I27" s="816">
        <f t="shared" si="0"/>
        <v>245.79870798999997</v>
      </c>
      <c r="J27" s="619"/>
    </row>
    <row r="28" spans="1:14" ht="15" customHeight="1">
      <c r="A28" s="420"/>
      <c r="B28" s="464"/>
      <c r="C28" s="464" t="str">
        <f>IF(Indice_index!$Z$1=1,"Apoios extraordinários ao rendimento dos trabalhadores","Extraordinary support of workers income")</f>
        <v>Apoios extraordinários ao rendimento dos trabalhadores</v>
      </c>
      <c r="D28" s="464" t="str">
        <f>IF(Indice_index!$Z$1=1,"D.04 - Transf. Correntes","D.04 - Current transfers")</f>
        <v>D.04 - Transf. Correntes</v>
      </c>
      <c r="E28" s="814" t="s">
        <v>504</v>
      </c>
      <c r="F28" s="814">
        <v>77.97294441999999</v>
      </c>
      <c r="G28" s="814"/>
      <c r="H28" s="814"/>
      <c r="I28" s="816">
        <f t="shared" si="0"/>
        <v>77.97294441999999</v>
      </c>
      <c r="J28" s="619"/>
    </row>
    <row r="29" spans="1:14" s="420" customFormat="1" ht="15" customHeight="1">
      <c r="B29" s="464"/>
      <c r="C29" s="464" t="str">
        <f>IF(Indice_index!$Z$1=1,"Compensação ao aumento do valor da retribuição mínima mensal garantida","Compensation for the increase in the guaranteed minimum monthly salary")</f>
        <v>Compensação ao aumento do valor da retribuição mínima mensal garantida</v>
      </c>
      <c r="D29" s="464" t="str">
        <f>IF(Indice_index!$Z$1=1,"D.04 - Transf. Correntes","D.04 - Current transfers")</f>
        <v>D.04 - Transf. Correntes</v>
      </c>
      <c r="E29" s="814">
        <v>90.625752000000006</v>
      </c>
      <c r="F29" s="814"/>
      <c r="G29" s="814"/>
      <c r="H29" s="814"/>
      <c r="I29" s="816">
        <f t="shared" si="0"/>
        <v>90.625752000000006</v>
      </c>
      <c r="J29" s="619"/>
      <c r="M29" s="448"/>
      <c r="N29" s="448"/>
    </row>
    <row r="30" spans="1:14" s="456" customFormat="1" ht="15" customHeight="1">
      <c r="A30" s="420"/>
      <c r="B30" s="464"/>
      <c r="C30" s="464" t="str">
        <f>IF(Indice_index!$Z$1=1,"Subsídio de doença por infecção SARS-CoV-2","SARS-CoV-2 infection sickness benefit")</f>
        <v>Subsídio de doença por infecção SARS-CoV-2</v>
      </c>
      <c r="D30" s="464" t="str">
        <f>IF(Indice_index!$Z$1=1,"D.04 - Transf. Correntes","D.04 - Current transfers")</f>
        <v>D.04 - Transf. Correntes</v>
      </c>
      <c r="E30" s="814" t="s">
        <v>504</v>
      </c>
      <c r="F30" s="814">
        <v>66.912549470000002</v>
      </c>
      <c r="G30" s="814"/>
      <c r="H30" s="814"/>
      <c r="I30" s="816">
        <f t="shared" si="0"/>
        <v>66.912549470000002</v>
      </c>
      <c r="J30" s="620"/>
      <c r="M30" s="457"/>
      <c r="N30" s="457"/>
    </row>
    <row r="31" spans="1:14" s="420" customFormat="1" ht="15" customHeight="1">
      <c r="B31" s="464"/>
      <c r="C31" s="464" t="str">
        <f>IF(Indice_index!$Z$1=1,"Programa de Apoio a Edifícios Mais Sustentáveis","More Sustainable Building Support Program")</f>
        <v>Programa de Apoio a Edifícios Mais Sustentáveis</v>
      </c>
      <c r="D31" s="464" t="str">
        <f>IF(Indice_index!$Z$1=1,"D.04 - Transf. Correntes","D.04 - Current transfers")</f>
        <v>D.04 - Transf. Correntes</v>
      </c>
      <c r="E31" s="814">
        <v>105.88241286</v>
      </c>
      <c r="F31" s="814"/>
      <c r="G31" s="814"/>
      <c r="H31" s="814"/>
      <c r="I31" s="816">
        <f t="shared" si="0"/>
        <v>105.88241286</v>
      </c>
      <c r="J31" s="619"/>
      <c r="M31" s="448"/>
      <c r="N31" s="448"/>
    </row>
    <row r="32" spans="1:14" ht="15" customHeight="1">
      <c r="A32" s="420"/>
      <c r="B32" s="464"/>
      <c r="C32" s="464" t="str">
        <f>IF(Indice_index!$Z$1=1,"Apoio extraordinário à retoma progressiva de atividade","Extraordinary support for the progressive resumption of activity")</f>
        <v>Apoio extraordinário à retoma progressiva de atividade</v>
      </c>
      <c r="D32" s="464" t="str">
        <f>IF(Indice_index!$Z$1=1,"D.04 - Transf. Correntes","D.04 - Current transfers")</f>
        <v>D.04 - Transf. Correntes</v>
      </c>
      <c r="E32" s="814" t="s">
        <v>504</v>
      </c>
      <c r="F32" s="814">
        <v>45.277918159999999</v>
      </c>
      <c r="G32" s="814"/>
      <c r="H32" s="814"/>
      <c r="I32" s="816">
        <f t="shared" si="0"/>
        <v>45.277918159999999</v>
      </c>
      <c r="J32" s="619"/>
    </row>
    <row r="33" spans="1:14" ht="15" customHeight="1">
      <c r="A33" s="420"/>
      <c r="B33" s="464"/>
      <c r="C33" s="464" t="str">
        <f>IF(Indice_index!$Z$1=1,"Programa Ativar - Bolsas de formação","ATIVAR.PT Program - Training Scholarships")</f>
        <v>Programa Ativar - Bolsas de formação</v>
      </c>
      <c r="D33" s="464" t="str">
        <f>IF(Indice_index!$Z$1=1,"D.04 - Transf. Correntes","D.04 - Current transfers")</f>
        <v>D.04 - Transf. Correntes</v>
      </c>
      <c r="E33" s="814">
        <v>68.459944789999994</v>
      </c>
      <c r="F33" s="814"/>
      <c r="G33" s="814"/>
      <c r="H33" s="814"/>
      <c r="I33" s="816">
        <f t="shared" si="0"/>
        <v>68.459944789999994</v>
      </c>
      <c r="J33" s="619"/>
    </row>
    <row r="34" spans="1:14" s="420" customFormat="1" ht="15" customHeight="1">
      <c r="B34" s="464"/>
      <c r="C34" s="464" t="str">
        <f>IF(Indice_index!$Z$1=1,"Subsídios de assistência a filho e a neto","Allowances for child and grandchild's care")</f>
        <v>Subsídios de assistência a filho e a neto</v>
      </c>
      <c r="D34" s="464" t="str">
        <f>IF(Indice_index!$Z$1=1,"D.04 - Transf. Correntes","D.04 - Current transfers")</f>
        <v>D.04 - Transf. Correntes</v>
      </c>
      <c r="E34" s="814" t="s">
        <v>504</v>
      </c>
      <c r="F34" s="814">
        <v>15.340114720000001</v>
      </c>
      <c r="G34" s="814"/>
      <c r="H34" s="814"/>
      <c r="I34" s="816">
        <f t="shared" si="0"/>
        <v>15.340114720000001</v>
      </c>
      <c r="J34" s="619"/>
      <c r="M34" s="448"/>
      <c r="N34" s="448"/>
    </row>
    <row r="35" spans="1:14" s="420" customFormat="1" ht="15" customHeight="1">
      <c r="B35" s="464"/>
      <c r="C35" s="464" t="str">
        <f>IF(Indice_index!$Z$1=1,"Outros apoios de proteção social","Other social protection benefits")</f>
        <v>Outros apoios de proteção social</v>
      </c>
      <c r="D35" s="464" t="str">
        <f>IF(Indice_index!$Z$1=1,"D.04 - Transf. Correntes","D.04 - Current transfers")</f>
        <v>D.04 - Transf. Correntes</v>
      </c>
      <c r="E35" s="814" t="s">
        <v>504</v>
      </c>
      <c r="F35" s="814">
        <v>5.5723735000000003</v>
      </c>
      <c r="G35" s="814"/>
      <c r="H35" s="814">
        <v>19.447337219999998</v>
      </c>
      <c r="I35" s="816">
        <f t="shared" si="0"/>
        <v>25.019710719999999</v>
      </c>
      <c r="J35" s="619"/>
      <c r="M35" s="448"/>
      <c r="N35" s="448"/>
    </row>
    <row r="36" spans="1:14" s="420" customFormat="1" ht="15" customHeight="1">
      <c r="B36" s="464"/>
      <c r="C36" s="464" t="str">
        <f>IF(Indice_index!$Z$1=1,"Apoio extraordinário serviços públicos de transporte de passageiros","Extraordinary financial support for public passenger transport services")</f>
        <v>Apoio extraordinário serviços públicos de transporte de passageiros</v>
      </c>
      <c r="D36" s="464" t="str">
        <f>IF(Indice_index!$Z$1=1,"D.04 - Transf. Correntes","D.04 - Current transfers")</f>
        <v>D.04 - Transf. Correntes</v>
      </c>
      <c r="E36" s="814">
        <v>37.85922961</v>
      </c>
      <c r="F36" s="814"/>
      <c r="G36" s="814"/>
      <c r="H36" s="814"/>
      <c r="I36" s="816">
        <f t="shared" si="0"/>
        <v>37.85922961</v>
      </c>
      <c r="J36" s="619"/>
      <c r="K36" s="438"/>
      <c r="M36" s="448"/>
      <c r="N36" s="448"/>
    </row>
    <row r="37" spans="1:14" ht="15" customHeight="1">
      <c r="A37" s="420"/>
      <c r="B37" s="464"/>
      <c r="C37" s="464" t="str">
        <f>IF(Indice_index!$Z$1=1,"Layoff simplificado","Simplified layoff")</f>
        <v>Layoff simplificado</v>
      </c>
      <c r="D37" s="464" t="str">
        <f>IF(Indice_index!$Z$1=1,"D.04 - Transf. Correntes","D.04 - Current transfers")</f>
        <v>D.04 - Transf. Correntes</v>
      </c>
      <c r="E37" s="814">
        <v>0</v>
      </c>
      <c r="F37" s="814">
        <v>9.326115439999997</v>
      </c>
      <c r="G37" s="814"/>
      <c r="H37" s="814"/>
      <c r="I37" s="816">
        <f t="shared" si="0"/>
        <v>9.326115439999997</v>
      </c>
      <c r="J37" s="619"/>
    </row>
    <row r="38" spans="1:14" ht="15" customHeight="1">
      <c r="A38" s="420"/>
      <c r="B38" s="464"/>
      <c r="C38" s="464" t="str">
        <f>IF(Indice_index!$Z$1=1,"Apoios sociais às famílias","Social benefits to families")</f>
        <v>Apoios sociais às famílias</v>
      </c>
      <c r="D38" s="464" t="str">
        <f>IF(Indice_index!$Z$1=1,"D.04 - Transf. Correntes","D.04 - Current transfers")</f>
        <v>D.04 - Transf. Correntes</v>
      </c>
      <c r="E38" s="814" t="s">
        <v>504</v>
      </c>
      <c r="F38" s="814">
        <v>8.2953824999999988</v>
      </c>
      <c r="G38" s="814"/>
      <c r="H38" s="814"/>
      <c r="I38" s="816">
        <f t="shared" si="0"/>
        <v>8.2953824999999988</v>
      </c>
      <c r="J38" s="619"/>
    </row>
    <row r="39" spans="1:14" s="420" customFormat="1" ht="15" customHeight="1">
      <c r="B39" s="464"/>
      <c r="C39" s="464" t="str">
        <f>IF(Indice_index!$Z$1=1,"Programa Garantir Cultura","Guarantee Culture Program")</f>
        <v>Programa Garantir Cultura</v>
      </c>
      <c r="D39" s="464" t="str">
        <f>IF(Indice_index!$Z$1=1,"D.04 - Transf. Correntes","D.04 - Current transfers")</f>
        <v>D.04 - Transf. Correntes</v>
      </c>
      <c r="E39" s="814">
        <v>7.8503242800000015</v>
      </c>
      <c r="F39" s="814"/>
      <c r="G39" s="814"/>
      <c r="H39" s="814"/>
      <c r="I39" s="816">
        <f t="shared" si="0"/>
        <v>7.8503242800000015</v>
      </c>
      <c r="J39" s="619"/>
      <c r="M39" s="448"/>
      <c r="N39" s="448"/>
    </row>
    <row r="40" spans="1:14" s="420" customFormat="1" ht="15" customHeight="1">
      <c r="B40" s="464"/>
      <c r="C40" s="464" t="str">
        <f>IF(Indice_index!$Z$1=1,"Apoios ao emprego (inclui complementos layoff)","Employment benefits (include layoff complements)")</f>
        <v>Apoios ao emprego (inclui complementos layoff)</v>
      </c>
      <c r="D40" s="464" t="str">
        <f>IF(Indice_index!$Z$1=1,"D.04 - Transf. Correntes","D.04 - Current transfers")</f>
        <v>D.04 - Transf. Correntes</v>
      </c>
      <c r="E40" s="814" t="s">
        <v>504</v>
      </c>
      <c r="F40" s="814"/>
      <c r="G40" s="814">
        <v>6.3875851900000002</v>
      </c>
      <c r="H40" s="814"/>
      <c r="I40" s="816">
        <f t="shared" si="0"/>
        <v>6.3875851900000002</v>
      </c>
      <c r="J40" s="619"/>
      <c r="M40" s="448"/>
      <c r="N40" s="448"/>
    </row>
    <row r="41" spans="1:14" s="420" customFormat="1" ht="15" customHeight="1">
      <c r="B41" s="464"/>
      <c r="C41" s="464" t="str">
        <f>IF(Indice_index!$Z$1=1,"Apoio Social Extraordinário para Profissionais da Cultura","Extraordinary Social Benefit for Culture Professionals")</f>
        <v>Apoio Social Extraordinário para Profissionais da Cultura</v>
      </c>
      <c r="D41" s="464" t="str">
        <f>IF(Indice_index!$Z$1=1,"D.04 - Transf. Correntes","D.04 - Current transfers")</f>
        <v>D.04 - Transf. Correntes</v>
      </c>
      <c r="E41" s="814">
        <v>3.7003581800000003</v>
      </c>
      <c r="F41" s="814"/>
      <c r="G41" s="814"/>
      <c r="H41" s="814"/>
      <c r="I41" s="816">
        <f t="shared" si="0"/>
        <v>3.7003581800000003</v>
      </c>
      <c r="J41" s="619"/>
      <c r="M41" s="448"/>
      <c r="N41" s="448"/>
    </row>
    <row r="42" spans="1:14" s="420" customFormat="1" ht="15" customHeight="1">
      <c r="B42" s="464"/>
      <c r="C42" s="464" t="str">
        <f>IF(Indice_index!$Z$1=1,"Programa Vale Eficiência ","Financial support program for energy efficiency")</f>
        <v xml:space="preserve">Programa Vale Eficiência </v>
      </c>
      <c r="D42" s="464" t="str">
        <f>IF(Indice_index!$Z$1=1,"D.04 - Transf. Correntes","D.04 - Current transfers")</f>
        <v>D.04 - Transf. Correntes</v>
      </c>
      <c r="E42" s="814">
        <v>14.598515259999999</v>
      </c>
      <c r="F42" s="814"/>
      <c r="G42" s="814"/>
      <c r="H42" s="814"/>
      <c r="I42" s="816">
        <f t="shared" si="0"/>
        <v>14.598515259999999</v>
      </c>
      <c r="J42" s="619"/>
      <c r="M42" s="448"/>
      <c r="N42" s="448"/>
    </row>
    <row r="43" spans="1:14" ht="15" customHeight="1">
      <c r="A43" s="420"/>
      <c r="B43" s="464"/>
      <c r="C43" s="464" t="str">
        <f>IF(Indice_index!$Z$1=1,"Prestações por doenças profissionais","Benefits for professional illnesses")</f>
        <v>Prestações por doenças profissionais</v>
      </c>
      <c r="D43" s="464" t="str">
        <f>IF(Indice_index!$Z$1=1,"D.04 - Transf. Correntes","D.04 - Current transfers")</f>
        <v>D.04 - Transf. Correntes</v>
      </c>
      <c r="E43" s="814" t="s">
        <v>504</v>
      </c>
      <c r="F43" s="814">
        <v>1.2911641599999999</v>
      </c>
      <c r="G43" s="814"/>
      <c r="H43" s="814"/>
      <c r="I43" s="814">
        <f t="shared" si="0"/>
        <v>1.2911641599999999</v>
      </c>
      <c r="J43" s="420"/>
    </row>
    <row r="44" spans="1:14" s="456" customFormat="1" ht="15" customHeight="1">
      <c r="A44" s="420"/>
      <c r="B44" s="464"/>
      <c r="C44" s="464" t="str">
        <f>IF(Indice_index!$Z$1=1,"Apoio a associações humanitárias de bombeiros","Financial support to humanitarian firefighters associations")</f>
        <v>Apoio a associações humanitárias de bombeiros</v>
      </c>
      <c r="D44" s="464" t="str">
        <f>IF(Indice_index!$Z$1=1,"D.04 - Transf. Correntes","D.04 - Current transfers")</f>
        <v>D.04 - Transf. Correntes</v>
      </c>
      <c r="E44" s="814">
        <v>0.15725</v>
      </c>
      <c r="F44" s="814"/>
      <c r="G44" s="814"/>
      <c r="H44" s="814"/>
      <c r="I44" s="816">
        <f t="shared" si="0"/>
        <v>0.15725</v>
      </c>
      <c r="J44" s="620"/>
      <c r="M44" s="457"/>
      <c r="N44" s="457"/>
    </row>
    <row r="45" spans="1:14" s="420" customFormat="1" ht="15" customHeight="1">
      <c r="B45" s="464"/>
      <c r="C45" s="464" t="str">
        <f>IF(Indice_index!$Z$1=1,"Apoios ao setor das pescas","Benefits to fisheries sector")</f>
        <v>Apoios ao setor das pescas</v>
      </c>
      <c r="D45" s="464" t="str">
        <f>IF(Indice_index!$Z$1=1,"D.04 - Transf. Correntes","D.04 - Current transfers")</f>
        <v>D.04 - Transf. Correntes</v>
      </c>
      <c r="E45" s="814">
        <v>0.10065001999999999</v>
      </c>
      <c r="F45" s="814"/>
      <c r="G45" s="814"/>
      <c r="H45" s="814"/>
      <c r="I45" s="816">
        <f t="shared" si="0"/>
        <v>0.10065001999999999</v>
      </c>
      <c r="J45" s="619"/>
      <c r="M45" s="448"/>
      <c r="N45" s="448"/>
    </row>
    <row r="46" spans="1:14" ht="15" customHeight="1">
      <c r="A46" s="420"/>
      <c r="B46" s="464"/>
      <c r="C46" s="464" t="str">
        <f>IF(Indice_index!$Z$1=1,"Apoios a setores de produção agrícola","Benefits to agricultural production sectors")</f>
        <v>Apoios a setores de produção agrícola</v>
      </c>
      <c r="D46" s="464" t="str">
        <f>IF(Indice_index!$Z$1=1,"D.04 - Transf. Correntes","D.04 - Current transfers")</f>
        <v>D.04 - Transf. Correntes</v>
      </c>
      <c r="E46" s="814">
        <v>8.2524270000000011E-2</v>
      </c>
      <c r="F46" s="814"/>
      <c r="G46" s="814"/>
      <c r="H46" s="814"/>
      <c r="I46" s="816">
        <f t="shared" si="0"/>
        <v>8.2524270000000011E-2</v>
      </c>
      <c r="J46" s="619"/>
    </row>
    <row r="47" spans="1:14" ht="15" customHeight="1">
      <c r="A47" s="420"/>
      <c r="B47" s="464"/>
      <c r="C47" s="464" t="str">
        <f>IF(Indice_index!$Z$1=1,"Outros apoios","Other Central Government support expenditure")</f>
        <v>Outros apoios</v>
      </c>
      <c r="D47" s="464" t="str">
        <f>IF(Indice_index!$Z$1=1,"D.04 - Transf. Correntes","D.04 - Current transfers")</f>
        <v>D.04 - Transf. Correntes</v>
      </c>
      <c r="E47" s="814">
        <v>8.7548695800000012</v>
      </c>
      <c r="F47" s="814"/>
      <c r="G47" s="814">
        <v>16.0316425</v>
      </c>
      <c r="H47" s="814"/>
      <c r="I47" s="816">
        <f t="shared" si="0"/>
        <v>24.786512080000001</v>
      </c>
      <c r="J47" s="619"/>
    </row>
    <row r="48" spans="1:14" ht="15" customHeight="1">
      <c r="A48" s="420"/>
      <c r="B48" s="464"/>
      <c r="C48" s="464" t="str">
        <f>IF(Indice_index!$Z$1=1,"Programa Ativar","ATIVAR.PT Program")</f>
        <v>Programa Ativar</v>
      </c>
      <c r="D48" s="464" t="str">
        <f>IF(Indice_index!$Z$1=1,"D.05 - Subsídios","D.05 - Subsidies")</f>
        <v>D.05 - Subsídios</v>
      </c>
      <c r="E48" s="814">
        <v>230.94737845999998</v>
      </c>
      <c r="F48" s="814"/>
      <c r="G48" s="814"/>
      <c r="H48" s="814"/>
      <c r="I48" s="816">
        <f t="shared" si="0"/>
        <v>230.94737845999998</v>
      </c>
      <c r="J48" s="619"/>
    </row>
    <row r="49" spans="1:11" ht="15" customHeight="1">
      <c r="A49" s="420"/>
      <c r="B49" s="464"/>
      <c r="C49" s="464" t="str">
        <f>IF(Indice_index!$Z$1=1,"Novo incentivo à normalização da atividade empresarial","New extraordinary incentive to normalization")</f>
        <v>Novo incentivo à normalização da atividade empresarial</v>
      </c>
      <c r="D49" s="464" t="str">
        <f>IF(Indice_index!$Z$1=1,"D.05 - Subsídios","D.05 - Subsidies")</f>
        <v>D.05 - Subsídios</v>
      </c>
      <c r="E49" s="814">
        <v>118.02767122</v>
      </c>
      <c r="F49" s="814"/>
      <c r="G49" s="814"/>
      <c r="H49" s="814"/>
      <c r="I49" s="816">
        <f t="shared" ref="I49:I67" si="1">SUM(E49:H49)</f>
        <v>118.02767122</v>
      </c>
      <c r="J49" s="619"/>
      <c r="K49" s="505"/>
    </row>
    <row r="50" spans="1:11" ht="15" customHeight="1">
      <c r="A50" s="420"/>
      <c r="B50" s="464"/>
      <c r="C50" s="464" t="str">
        <f>+IF(Indice_index!$Z$1=1,"Programa AUTOvoucher","AUTOvoucher Program")</f>
        <v>Programa AUTOvoucher</v>
      </c>
      <c r="D50" s="464" t="str">
        <f>IF(Indice_index!$Z$1=1,"D.05 - Subsídios","D.05 - Subsidies")</f>
        <v>D.05 - Subsídios</v>
      </c>
      <c r="E50" s="814">
        <v>30</v>
      </c>
      <c r="F50" s="814"/>
      <c r="G50" s="1601"/>
      <c r="H50" s="1601"/>
      <c r="I50" s="816">
        <f t="shared" si="1"/>
        <v>30</v>
      </c>
      <c r="J50" s="619"/>
    </row>
    <row r="51" spans="1:11" ht="15" customHeight="1">
      <c r="A51" s="420"/>
      <c r="B51" s="464"/>
      <c r="C51" s="464" t="str">
        <f>IF(Indice_index!$Z$1=1,"Reforço de emergência de equipamentos sociais e de saúde","Emergency reinforcement of social and health facilities")</f>
        <v>Reforço de emergência de equipamentos sociais e de saúde</v>
      </c>
      <c r="D51" s="464" t="str">
        <f>IF(Indice_index!$Z$1=1,"D.05 - Subsídios","D.05 - Subsidies")</f>
        <v>D.05 - Subsídios</v>
      </c>
      <c r="E51" s="814">
        <v>10.184189480000001</v>
      </c>
      <c r="F51" s="814">
        <v>0.57952155000000005</v>
      </c>
      <c r="G51" s="814"/>
      <c r="H51" s="814"/>
      <c r="I51" s="816">
        <f t="shared" si="1"/>
        <v>10.763711030000001</v>
      </c>
      <c r="J51" s="619"/>
    </row>
    <row r="52" spans="1:11" ht="15" customHeight="1">
      <c r="A52" s="420"/>
      <c r="B52" s="464"/>
      <c r="C52" s="464" t="str">
        <f>IF(Indice_index!$Z$1=1,"Apoios ao cinema e audiovisual","Support to cinema and audiovisual activities")</f>
        <v>Apoios ao cinema e audiovisual</v>
      </c>
      <c r="D52" s="464" t="str">
        <f>IF(Indice_index!$Z$1=1,"D.05 - Subsídios","D.05 - Subsidies")</f>
        <v>D.05 - Subsídios</v>
      </c>
      <c r="E52" s="814">
        <v>0.88015125999999999</v>
      </c>
      <c r="F52" s="814"/>
      <c r="G52" s="814"/>
      <c r="H52" s="814"/>
      <c r="I52" s="816">
        <f t="shared" si="1"/>
        <v>0.88015125999999999</v>
      </c>
      <c r="J52" s="619"/>
    </row>
    <row r="53" spans="1:11" ht="15" customHeight="1">
      <c r="A53" s="420"/>
      <c r="B53" s="464"/>
      <c r="C53" s="464" t="str">
        <f>IF(Indice_index!$Z$1=1,"Incentivo extraordinário à normalização","Extraordinary incentive to normalization")</f>
        <v>Incentivo extraordinário à normalização</v>
      </c>
      <c r="D53" s="464" t="str">
        <f>IF(Indice_index!$Z$1=1,"D.05 - Subsídios","D.05 - Subsidies")</f>
        <v>D.05 - Subsídios</v>
      </c>
      <c r="E53" s="814">
        <v>0.50616190000000005</v>
      </c>
      <c r="F53" s="814"/>
      <c r="G53" s="814"/>
      <c r="H53" s="814"/>
      <c r="I53" s="816">
        <f t="shared" si="1"/>
        <v>0.50616190000000005</v>
      </c>
      <c r="J53" s="619"/>
    </row>
    <row r="54" spans="1:11" ht="15" customHeight="1">
      <c r="A54" s="420"/>
      <c r="B54" s="464"/>
      <c r="C54" s="464" t="str">
        <f>IF(Indice_index!$Z$1=1,"Compromisso e Emprego Sustentável ","Commitment and Sustainable Employment ")</f>
        <v xml:space="preserve">Compromisso e Emprego Sustentável </v>
      </c>
      <c r="D54" s="464" t="str">
        <f>IF(Indice_index!$Z$1=1,"D.05 - Subsídios","D.05 - Subsidies")</f>
        <v>D.05 - Subsídios</v>
      </c>
      <c r="E54" s="814">
        <v>54.989078339999999</v>
      </c>
      <c r="F54" s="814"/>
      <c r="G54" s="814"/>
      <c r="H54" s="814"/>
      <c r="I54" s="816">
        <f t="shared" si="1"/>
        <v>54.989078339999999</v>
      </c>
      <c r="J54" s="619"/>
    </row>
    <row r="55" spans="1:11" ht="15" customHeight="1">
      <c r="A55" s="420"/>
      <c r="B55" s="464"/>
      <c r="C55" s="464" t="str">
        <f>IF(Indice_index!$Z$1=1,"Outros apoios a empresas","Other benefits to companies")</f>
        <v>Outros apoios a empresas</v>
      </c>
      <c r="D55" s="464" t="str">
        <f>IF(Indice_index!$Z$1=1,"D.05 - Subsídios","D.05 - Subsidies")</f>
        <v>D.05 - Subsídios</v>
      </c>
      <c r="E55" s="1270">
        <v>2.3720000000000001E-2</v>
      </c>
      <c r="F55" s="814"/>
      <c r="G55" s="814">
        <v>6.3172682499999997</v>
      </c>
      <c r="H55" s="814">
        <v>4.3558378400000004</v>
      </c>
      <c r="I55" s="816">
        <f t="shared" si="1"/>
        <v>10.69682609</v>
      </c>
      <c r="J55" s="619"/>
    </row>
    <row r="56" spans="1:11" ht="15" customHeight="1">
      <c r="A56" s="420"/>
      <c r="B56" s="464"/>
      <c r="C56" s="464" t="str">
        <f>IF(Indice_index!$Z$1=1,"Outros encargos","Other charges")</f>
        <v>Outros encargos</v>
      </c>
      <c r="D56" s="464" t="str">
        <f>IF(Indice_index!$Z$1=1,"D.06/D.11 - Otr. Desp. Correntes/Capital","D.06 - Other current/capital expenditure")</f>
        <v>D.06/D.11 - Otr. Desp. Correntes/Capital</v>
      </c>
      <c r="E56" s="814">
        <v>5.8609833799999986</v>
      </c>
      <c r="F56" s="814"/>
      <c r="G56" s="1601">
        <v>0</v>
      </c>
      <c r="H56" s="1601">
        <v>5.3383861400000008</v>
      </c>
      <c r="I56" s="816">
        <f t="shared" si="1"/>
        <v>11.199369519999999</v>
      </c>
      <c r="J56" s="619"/>
    </row>
    <row r="57" spans="1:11" ht="15" customHeight="1">
      <c r="A57" s="420"/>
      <c r="B57" s="464"/>
      <c r="C57" s="464" t="str">
        <f>IF(Indice_index!$Z$1=1,"Universalização da escola digital","Universalization of the digital school")</f>
        <v>Universalização da escola digital</v>
      </c>
      <c r="D57" s="464" t="str">
        <f>IF(Indice_index!$Z$1=1,"D.07 - Aq. Bens de Capital","D.07 - Investment")</f>
        <v>D.07 - Aq. Bens de Capital</v>
      </c>
      <c r="E57" s="814">
        <v>211.66038833000002</v>
      </c>
      <c r="F57" s="814"/>
      <c r="G57" s="814">
        <v>0</v>
      </c>
      <c r="H57" s="814"/>
      <c r="I57" s="816">
        <f t="shared" si="1"/>
        <v>211.66038833000002</v>
      </c>
      <c r="J57" s="619"/>
    </row>
    <row r="58" spans="1:11" ht="15" customHeight="1">
      <c r="A58" s="420"/>
      <c r="B58" s="464"/>
      <c r="C58" s="464" t="str">
        <f>IF(Indice_index!$Z$1=1,"Saúde: equipamentos e outros","Health: equipment and others")</f>
        <v>Saúde: equipamentos e outros</v>
      </c>
      <c r="D58" s="464" t="str">
        <f>IF(Indice_index!$Z$1=1,"D.07 - Aq. Bens de Capital","D.07 - Investment")</f>
        <v>D.07 - Aq. Bens de Capital</v>
      </c>
      <c r="E58" s="814">
        <v>27.115088660000001</v>
      </c>
      <c r="F58" s="814"/>
      <c r="G58" s="814">
        <v>0.90015870000000009</v>
      </c>
      <c r="H58" s="814">
        <v>0.8285461999999999</v>
      </c>
      <c r="I58" s="816">
        <f t="shared" si="1"/>
        <v>28.843793560000002</v>
      </c>
      <c r="J58" s="619"/>
    </row>
    <row r="59" spans="1:11" ht="15" customHeight="1">
      <c r="A59" s="420"/>
      <c r="B59" s="464"/>
      <c r="C59" s="464" t="str">
        <f>IF(Indice_index!$Z$1=1,"Apoio ao teletrabalho","Support to teleworking")</f>
        <v>Apoio ao teletrabalho</v>
      </c>
      <c r="D59" s="464" t="str">
        <f>IF(Indice_index!$Z$1=1,"D.07 - Aq. Bens de Capital","D.07 - Investment")</f>
        <v>D.07 - Aq. Bens de Capital</v>
      </c>
      <c r="E59" s="814">
        <v>21.700726519999993</v>
      </c>
      <c r="F59" s="814"/>
      <c r="G59" s="814">
        <v>0</v>
      </c>
      <c r="H59" s="814"/>
      <c r="I59" s="816">
        <f t="shared" si="1"/>
        <v>21.700726519999993</v>
      </c>
      <c r="J59" s="619"/>
    </row>
    <row r="60" spans="1:11" ht="15" customHeight="1">
      <c r="A60" s="420"/>
      <c r="B60" s="464"/>
      <c r="C60" s="464" t="str">
        <f>IF(Indice_index!$Z$1=1,"Outros equipamentos","Other equipment")</f>
        <v>Outros equipamentos</v>
      </c>
      <c r="D60" s="464" t="str">
        <f>IF(Indice_index!$Z$1=1,"D.07 - Aq. Bens de Capital","D.07 - Investment")</f>
        <v>D.07 - Aq. Bens de Capital</v>
      </c>
      <c r="E60" s="814">
        <v>70.414198090000014</v>
      </c>
      <c r="F60" s="814"/>
      <c r="G60" s="814">
        <v>0.23168759999999997</v>
      </c>
      <c r="H60" s="814">
        <v>0.45017332999999948</v>
      </c>
      <c r="I60" s="816">
        <f t="shared" si="1"/>
        <v>71.096059020000013</v>
      </c>
      <c r="J60" s="619"/>
    </row>
    <row r="61" spans="1:11" ht="15" customHeight="1">
      <c r="A61" s="420"/>
      <c r="B61" s="464"/>
      <c r="C61" s="464" t="str">
        <f>IF(Indice_index!$Z$1=1,"Linha Invest RAM","Invest RAM Line")</f>
        <v>Linha Invest RAM</v>
      </c>
      <c r="D61" s="464" t="str">
        <f>IF(Indice_index!$Z$1=1,"D.08 - Transf. Capital","D.08 - Capital transfers")</f>
        <v>D.08 - Transf. Capital</v>
      </c>
      <c r="E61" s="814">
        <v>0</v>
      </c>
      <c r="F61" s="814"/>
      <c r="G61" s="814">
        <v>52.7395821</v>
      </c>
      <c r="H61" s="814"/>
      <c r="I61" s="816">
        <f t="shared" si="1"/>
        <v>52.7395821</v>
      </c>
      <c r="J61" s="619"/>
    </row>
    <row r="62" spans="1:11" ht="15" customHeight="1">
      <c r="A62" s="420"/>
      <c r="B62" s="464"/>
      <c r="C62" s="464" t="s">
        <v>604</v>
      </c>
      <c r="D62" s="464" t="str">
        <f>IF(Indice_index!$Z$1=1,"D.08 - Transf. Capital","D.08 - Capital transfers")</f>
        <v>D.08 - Transf. Capital</v>
      </c>
      <c r="E62" s="814">
        <v>238.63822318000001</v>
      </c>
      <c r="F62" s="814"/>
      <c r="G62" s="814"/>
      <c r="H62" s="814"/>
      <c r="I62" s="816">
        <f t="shared" si="1"/>
        <v>238.63822318000001</v>
      </c>
      <c r="J62" s="619"/>
    </row>
    <row r="63" spans="1:11" ht="15" customHeight="1">
      <c r="A63" s="420"/>
      <c r="B63" s="464"/>
      <c r="C63" s="464" t="str">
        <f>IF(Indice_index!$Z$1=1,"Programa Apoiar.PT - apoios à economia","Apoiar.PT Program - support to economic activity")</f>
        <v>Programa Apoiar.PT - apoios à economia</v>
      </c>
      <c r="D63" s="464" t="str">
        <f>IF(Indice_index!$Z$1=1,"D.08 - Transf. Capital","D.08 - Capital transfers")</f>
        <v>D.08 - Transf. Capital</v>
      </c>
      <c r="E63" s="814">
        <v>0.69020808999999994</v>
      </c>
      <c r="F63" s="814"/>
      <c r="G63" s="814">
        <v>10.1708686</v>
      </c>
      <c r="H63" s="814"/>
      <c r="I63" s="816">
        <f t="shared" si="1"/>
        <v>10.861076690000001</v>
      </c>
      <c r="J63" s="619"/>
    </row>
    <row r="64" spans="1:11" ht="15" customHeight="1">
      <c r="A64" s="420"/>
      <c r="B64" s="464"/>
      <c r="C64" s="464" t="str">
        <f>IF(Indice_index!$Z$1=1,"Programa Adaptar Turismo","Adaptar Program")</f>
        <v>Programa Adaptar Turismo</v>
      </c>
      <c r="D64" s="464" t="str">
        <f>IF(Indice_index!$Z$1=1,"D.08 - Transf. Capital","D.08 - Capital transfers")</f>
        <v>D.08 - Transf. Capital</v>
      </c>
      <c r="E64" s="814">
        <v>3.1628613900000002</v>
      </c>
      <c r="F64" s="814"/>
      <c r="G64" s="814">
        <v>0</v>
      </c>
      <c r="H64" s="814"/>
      <c r="I64" s="816">
        <f t="shared" si="1"/>
        <v>3.1628613900000002</v>
      </c>
      <c r="J64" s="619"/>
    </row>
    <row r="65" spans="1:14" ht="15" customHeight="1">
      <c r="A65" s="420"/>
      <c r="B65" s="464"/>
      <c r="C65" s="464" t="str">
        <f>IF(Indice_index!$Z$1=1,"Programa Adaptar","Adaptar Program")</f>
        <v>Programa Adaptar</v>
      </c>
      <c r="D65" s="464" t="str">
        <f>IF(Indice_index!$Z$1=1,"D.08 - Transf. Capital","D.08 - Capital transfers")</f>
        <v>D.08 - Transf. Capital</v>
      </c>
      <c r="E65" s="814">
        <v>1.3496920000000001E-2</v>
      </c>
      <c r="F65" s="814"/>
      <c r="G65" s="814">
        <v>0.26185522</v>
      </c>
      <c r="H65" s="814"/>
      <c r="I65" s="816">
        <f t="shared" si="1"/>
        <v>0.27535214000000002</v>
      </c>
      <c r="J65" s="619"/>
    </row>
    <row r="66" spans="1:14" ht="15" customHeight="1">
      <c r="A66" s="420"/>
      <c r="B66" s="464"/>
      <c r="C66" s="464" t="str">
        <f>IF(Indice_index!$Z$1=1,"Programa Apoiar Rendas","Apoiar rentals Program")</f>
        <v>Programa Apoiar Rendas</v>
      </c>
      <c r="D66" s="464" t="str">
        <f>IF(Indice_index!$Z$1=1,"D.08 - Transf. Capital","D.08 - Capital transfers")</f>
        <v>D.08 - Transf. Capital</v>
      </c>
      <c r="E66" s="814">
        <v>2.5399359999999999E-2</v>
      </c>
      <c r="F66" s="814"/>
      <c r="G66" s="814">
        <v>0</v>
      </c>
      <c r="H66" s="814"/>
      <c r="I66" s="816">
        <f t="shared" si="1"/>
        <v>2.5399359999999999E-2</v>
      </c>
      <c r="J66" s="619"/>
    </row>
    <row r="67" spans="1:14" s="420" customFormat="1" ht="15" customHeight="1">
      <c r="B67" s="464"/>
      <c r="C67" s="464" t="str">
        <f>IF(Indice_index!$Z$1=1,"Outros apoios","Other benefits")</f>
        <v>Outros apoios</v>
      </c>
      <c r="D67" s="464" t="str">
        <f>IF(Indice_index!$Z$1=1,"D.08 - Transf. Capital","D.08 - Capital transfers")</f>
        <v>D.08 - Transf. Capital</v>
      </c>
      <c r="E67" s="814">
        <v>69.086184560000007</v>
      </c>
      <c r="F67" s="814"/>
      <c r="G67" s="814">
        <v>23.569897259999998</v>
      </c>
      <c r="H67" s="814">
        <v>1.5711501000000003</v>
      </c>
      <c r="I67" s="816">
        <f t="shared" si="1"/>
        <v>94.227231919999994</v>
      </c>
      <c r="J67" s="619"/>
      <c r="L67" s="438"/>
      <c r="M67" s="448"/>
      <c r="N67" s="448"/>
    </row>
    <row r="68" spans="1:14" ht="4.5" customHeight="1">
      <c r="A68" s="420"/>
      <c r="B68" s="464"/>
      <c r="E68" s="816"/>
      <c r="F68" s="816"/>
      <c r="G68" s="816"/>
      <c r="H68" s="816"/>
      <c r="I68" s="816"/>
      <c r="J68" s="619"/>
    </row>
    <row r="69" spans="1:14" ht="15" customHeight="1">
      <c r="A69" s="420"/>
      <c r="B69" s="464"/>
      <c r="C69" s="1271" t="str">
        <f>IF(Indice_index!$Z$1=1,"Total da Despesa efetiva","Total Effective Expenditure")</f>
        <v>Total da Despesa efetiva</v>
      </c>
      <c r="D69" s="1271"/>
      <c r="E69" s="1272">
        <f>SUM(E16:E67)</f>
        <v>2608.2876499400004</v>
      </c>
      <c r="F69" s="1273">
        <f>SUM(F16:F67)</f>
        <v>479.41371389999995</v>
      </c>
      <c r="G69" s="1273">
        <f>SUM(G16:G67)</f>
        <v>180.02320145000002</v>
      </c>
      <c r="H69" s="1273">
        <f>SUM(H16:H67)</f>
        <v>72.082157484999968</v>
      </c>
      <c r="I69" s="1273">
        <f>SUM(E69:H69)</f>
        <v>3339.8067227750007</v>
      </c>
      <c r="J69" s="619"/>
    </row>
    <row r="70" spans="1:14" ht="6.6" customHeight="1">
      <c r="A70" s="420"/>
      <c r="B70" s="464"/>
      <c r="C70" s="1271"/>
      <c r="D70" s="1271"/>
      <c r="E70" s="1273"/>
      <c r="F70" s="1273"/>
      <c r="G70" s="1273"/>
      <c r="H70" s="1273"/>
      <c r="I70" s="1273"/>
      <c r="J70" s="619"/>
    </row>
    <row r="71" spans="1:14" ht="15" customHeight="1">
      <c r="A71" s="420"/>
      <c r="B71" s="464"/>
      <c r="C71" s="1271" t="str">
        <f>IF(Indice_index!$Z$1=1,"Ativos financeiros","Financial assets")</f>
        <v>Ativos financeiros</v>
      </c>
      <c r="D71" s="1271"/>
      <c r="E71" s="1273">
        <f>E72+E73+E74</f>
        <v>314.95829891000005</v>
      </c>
      <c r="F71" s="1273">
        <f t="shared" ref="F71:H71" si="2">F72+F73</f>
        <v>0</v>
      </c>
      <c r="G71" s="1273">
        <f t="shared" si="2"/>
        <v>0</v>
      </c>
      <c r="H71" s="1273">
        <f t="shared" si="2"/>
        <v>0</v>
      </c>
      <c r="I71" s="1273">
        <f>I72+I73+I74</f>
        <v>314.95829891000005</v>
      </c>
      <c r="J71" s="619"/>
    </row>
    <row r="72" spans="1:14" ht="15" customHeight="1">
      <c r="A72" s="420"/>
      <c r="B72" s="464"/>
      <c r="C72" s="464" t="str">
        <f>IF(Indice_index!$Z$1=1,"Linha de apoio tesouraria MPE","Treasury support line for SME")</f>
        <v>Linha de apoio tesouraria MPE</v>
      </c>
      <c r="D72" s="464" t="str">
        <f>IF(Indice_index!$Z$1=1,"D.09 - Ativos financeiros","D.09 - Financial assets")</f>
        <v>D.09 - Ativos financeiros</v>
      </c>
      <c r="E72" s="814">
        <v>33.796494910000007</v>
      </c>
      <c r="F72" s="814">
        <v>0</v>
      </c>
      <c r="G72" s="814"/>
      <c r="H72" s="814"/>
      <c r="I72" s="814">
        <f t="shared" ref="I72:I74" si="3">SUM(E72:H72)</f>
        <v>33.796494910000007</v>
      </c>
      <c r="J72" s="619"/>
    </row>
    <row r="73" spans="1:14" ht="15" customHeight="1">
      <c r="A73" s="420"/>
      <c r="B73" s="464"/>
      <c r="C73" s="464" t="str">
        <f>IF(Indice_index!$Z$1=1,"Linha de apoio ao turismo","Tourism support line")</f>
        <v>Linha de apoio ao turismo</v>
      </c>
      <c r="D73" s="464" t="str">
        <f>IF(Indice_index!$Z$1=1,"D.09 - Ativos financeiros","D.09 - Financial assets")</f>
        <v>D.09 - Ativos financeiros</v>
      </c>
      <c r="E73" s="814">
        <v>13.13475</v>
      </c>
      <c r="F73" s="814">
        <v>0</v>
      </c>
      <c r="G73" s="814"/>
      <c r="H73" s="814"/>
      <c r="I73" s="814">
        <f t="shared" si="3"/>
        <v>13.13475</v>
      </c>
      <c r="J73" s="619"/>
    </row>
    <row r="74" spans="1:14" ht="15" customHeight="1">
      <c r="A74" s="420"/>
      <c r="B74" s="464"/>
      <c r="C74" s="464" t="str">
        <f>IF(Indice_index!$Z$1=1,"Outros apoios a empresas","Other benefits to companies")</f>
        <v>Outros apoios a empresas</v>
      </c>
      <c r="D74" s="464" t="str">
        <f>IF(Indice_index!$Z$1=1,"D.09 - Ativos financeiros","D.09 - Financial assets")</f>
        <v>D.09 - Ativos financeiros</v>
      </c>
      <c r="E74" s="814">
        <v>268.02705400000002</v>
      </c>
      <c r="F74" s="814">
        <v>0</v>
      </c>
      <c r="G74" s="594"/>
      <c r="H74" s="594"/>
      <c r="I74" s="814">
        <f t="shared" si="3"/>
        <v>268.02705400000002</v>
      </c>
      <c r="J74" s="619"/>
    </row>
    <row r="75" spans="1:14" ht="15" customHeight="1">
      <c r="A75" s="420"/>
      <c r="B75" s="464"/>
      <c r="C75" s="1271" t="str">
        <f>IF(Indice_index!$Z$1=1,"Total da Despesa Orçamental","Total Expenditure")</f>
        <v>Total da Despesa Orçamental</v>
      </c>
      <c r="D75" s="1271"/>
      <c r="E75" s="1273">
        <f>+E69+E71</f>
        <v>2923.2459488500003</v>
      </c>
      <c r="F75" s="1273">
        <f>+F69+F71</f>
        <v>479.41371389999995</v>
      </c>
      <c r="G75" s="1273">
        <f>+G69+G71</f>
        <v>180.02320145000002</v>
      </c>
      <c r="H75" s="1273">
        <f>+H69+H71</f>
        <v>72.082157484999968</v>
      </c>
      <c r="I75" s="1273">
        <f>+I69+I71</f>
        <v>3654.7650216850006</v>
      </c>
      <c r="J75" s="619"/>
    </row>
    <row r="76" spans="1:14" ht="6.6" customHeight="1">
      <c r="A76" s="420"/>
      <c r="B76" s="464"/>
      <c r="J76" s="619"/>
    </row>
    <row r="77" spans="1:14" ht="15" customHeight="1">
      <c r="A77" s="420"/>
      <c r="B77" s="464"/>
      <c r="C77" s="1271" t="str">
        <f>IF(Indice_index!$Z$1=1,"Operações Extra-orçamentais","Extra-budgetary operations")</f>
        <v>Operações Extra-orçamentais</v>
      </c>
      <c r="D77" s="1271"/>
      <c r="E77" s="1273"/>
      <c r="F77" s="1273"/>
      <c r="G77" s="1273"/>
      <c r="H77" s="1273"/>
      <c r="I77" s="1273"/>
      <c r="J77" s="619"/>
      <c r="K77" s="459"/>
    </row>
    <row r="78" spans="1:14" ht="15" customHeight="1">
      <c r="A78" s="420"/>
      <c r="B78" s="464"/>
      <c r="C78" s="464" t="str">
        <f>IF(Indice_index!$Z$1=1,"Programa Apoiar.PT - apoios à economia","Apoiar.PT Program - support to economic activity")</f>
        <v>Programa Apoiar.PT - apoios à economia</v>
      </c>
      <c r="D78" s="464" t="str">
        <f>IF(Indice_index!$Z$1=1,"D.12 - Operações extra-orçamentais","D.12 - Extra-budgetary operations")</f>
        <v>D.12 - Operações extra-orçamentais</v>
      </c>
      <c r="E78" s="814">
        <v>34.34742593</v>
      </c>
      <c r="F78" s="814">
        <v>0</v>
      </c>
      <c r="G78" s="816"/>
      <c r="H78" s="816"/>
      <c r="I78" s="816">
        <f t="shared" ref="I78:I84" si="4">SUM(E78:H78)</f>
        <v>34.34742593</v>
      </c>
      <c r="J78" s="619"/>
    </row>
    <row r="79" spans="1:14" ht="15" customHeight="1">
      <c r="A79" s="420"/>
      <c r="B79" s="464"/>
      <c r="C79" s="464" t="str">
        <f>IF(Indice_index!$Z$1=1,"Linha de apoio à economia","Economy support line")</f>
        <v>Linha de apoio à economia</v>
      </c>
      <c r="D79" s="813" t="str">
        <f>IF(Indice_index!$Z$1=1,"D.12 - Operações extra-orçamentais","D.12 - Extra-budgetary operations")</f>
        <v>D.12 - Operações extra-orçamentais</v>
      </c>
      <c r="E79" s="814">
        <v>17.551015260000003</v>
      </c>
      <c r="F79" s="814">
        <v>0</v>
      </c>
      <c r="G79" s="816"/>
      <c r="H79" s="816"/>
      <c r="I79" s="816">
        <f t="shared" si="4"/>
        <v>17.551015260000003</v>
      </c>
      <c r="J79" s="619"/>
    </row>
    <row r="80" spans="1:14" ht="15" customHeight="1">
      <c r="A80" s="420"/>
      <c r="B80" s="464"/>
      <c r="C80" s="464" t="str">
        <f>IF(Indice_index!$Z$1=1,"Programa Garantir Cultura","Guarantee Culture Program")</f>
        <v>Programa Garantir Cultura</v>
      </c>
      <c r="D80" s="813" t="str">
        <f>IF(Indice_index!$Z$1=1,"D.12 - Operações extra-orçamentais","D.12 - Extra-budgetary operations")</f>
        <v>D.12 - Operações extra-orçamentais</v>
      </c>
      <c r="E80" s="814">
        <v>6.3403212699999996</v>
      </c>
      <c r="F80" s="814">
        <v>0</v>
      </c>
      <c r="G80" s="816"/>
      <c r="H80" s="816"/>
      <c r="I80" s="816">
        <f t="shared" si="4"/>
        <v>6.3403212699999996</v>
      </c>
      <c r="J80" s="619"/>
    </row>
    <row r="81" spans="1:23" ht="15" customHeight="1">
      <c r="A81" s="420"/>
      <c r="B81" s="464"/>
      <c r="C81" s="464" t="str">
        <f>IF(Indice_index!$Z$1=1,"Programa Apoiar Rendas","Apoiar rentals Program")</f>
        <v>Programa Apoiar Rendas</v>
      </c>
      <c r="D81" s="813" t="str">
        <f>IF(Indice_index!$Z$1=1,"D.12 - Operações extra-orçamentais","D.12 - Extra-budgetary operations")</f>
        <v>D.12 - Operações extra-orçamentais</v>
      </c>
      <c r="E81" s="814">
        <v>1.82789165</v>
      </c>
      <c r="F81" s="814">
        <v>0</v>
      </c>
      <c r="G81" s="816"/>
      <c r="H81" s="816"/>
      <c r="I81" s="816">
        <f t="shared" si="4"/>
        <v>1.82789165</v>
      </c>
      <c r="J81" s="619"/>
    </row>
    <row r="82" spans="1:23" ht="15" customHeight="1">
      <c r="A82" s="420"/>
      <c r="B82" s="464"/>
      <c r="C82" s="464" t="str">
        <f>IF(Indice_index!$Z$1=1,"Programa Adaptar","Adaptar Program")</f>
        <v>Programa Adaptar</v>
      </c>
      <c r="D82" s="813" t="str">
        <f>IF(Indice_index!$Z$1=1,"D.12 - Operações extra-orçamentais","D.12 - Extra-budgetary operations")</f>
        <v>D.12 - Operações extra-orçamentais</v>
      </c>
      <c r="E82" s="814">
        <v>2.1276824100000002</v>
      </c>
      <c r="F82" s="814">
        <v>0</v>
      </c>
      <c r="G82" s="816"/>
      <c r="H82" s="816"/>
      <c r="I82" s="816">
        <f t="shared" si="4"/>
        <v>2.1276824100000002</v>
      </c>
      <c r="J82" s="619"/>
    </row>
    <row r="83" spans="1:23" ht="15" customHeight="1">
      <c r="A83" s="420"/>
      <c r="B83" s="464"/>
      <c r="C83" s="464" t="str">
        <f>IF(Indice_index!$Z$1=1,"Programa Apoiar + Simples","Apoiar + Simplex")</f>
        <v>Programa Apoiar + Simples</v>
      </c>
      <c r="D83" s="813" t="str">
        <f>IF(Indice_index!$Z$1=1,"D.12 - Operações extra-orçamentais","D.12 - Extra-budgetary operations")</f>
        <v>D.12 - Operações extra-orçamentais</v>
      </c>
      <c r="E83" s="814">
        <v>0.89740350999999996</v>
      </c>
      <c r="F83" s="814">
        <v>0</v>
      </c>
      <c r="G83" s="816"/>
      <c r="H83" s="816"/>
      <c r="I83" s="816">
        <f>SUM(E83:H83)</f>
        <v>0.89740350999999996</v>
      </c>
      <c r="J83" s="619"/>
    </row>
    <row r="84" spans="1:23" ht="15" customHeight="1">
      <c r="A84" s="420"/>
      <c r="B84" s="464"/>
      <c r="C84" s="464" t="str">
        <f>IF(Indice_index!$Z$1=1,"Outros apoios","Other benefits")</f>
        <v>Outros apoios</v>
      </c>
      <c r="D84" s="813" t="str">
        <f>IF(Indice_index!$Z$1=1,"D.12 - Operações extra-orçamentais","D.12 - Extra-budgetary operations")</f>
        <v>D.12 - Operações extra-orçamentais</v>
      </c>
      <c r="E84" s="814">
        <v>5.8973917599999996</v>
      </c>
      <c r="F84" s="814">
        <v>0</v>
      </c>
      <c r="G84" s="816"/>
      <c r="H84" s="816"/>
      <c r="I84" s="816">
        <f t="shared" si="4"/>
        <v>5.8973917599999996</v>
      </c>
      <c r="J84" s="619"/>
      <c r="K84" s="696"/>
    </row>
    <row r="85" spans="1:23" ht="15" customHeight="1">
      <c r="A85" s="420"/>
      <c r="B85" s="464"/>
      <c r="C85" s="1271" t="str">
        <f>IF(Indice_index!$Z$1=1,"Total da Despesa Extra-orçamental","Total Extra-budgetary Expenditure")</f>
        <v>Total da Despesa Extra-orçamental</v>
      </c>
      <c r="D85" s="1271"/>
      <c r="E85" s="1273">
        <f>SUM(E78:E84)</f>
        <v>68.989131789999988</v>
      </c>
      <c r="F85" s="1273">
        <v>0</v>
      </c>
      <c r="G85" s="1273">
        <f>SUM(G78:G84)</f>
        <v>0</v>
      </c>
      <c r="H85" s="1273">
        <f>SUM(H78:H84)</f>
        <v>0</v>
      </c>
      <c r="I85" s="1273">
        <f>SUM(I78:I84)</f>
        <v>68.989131789999988</v>
      </c>
      <c r="J85" s="619"/>
      <c r="K85" s="698"/>
    </row>
    <row r="86" spans="1:23" ht="4.5" customHeight="1">
      <c r="A86" s="420"/>
      <c r="B86" s="420"/>
      <c r="C86" s="1274"/>
      <c r="D86" s="1274"/>
      <c r="E86" s="594"/>
      <c r="F86" s="594"/>
      <c r="G86" s="594"/>
      <c r="H86" s="594"/>
      <c r="I86" s="594"/>
      <c r="J86" s="619"/>
    </row>
    <row r="87" spans="1:23" ht="15" customHeight="1">
      <c r="A87" s="420"/>
      <c r="B87" s="420"/>
      <c r="C87" s="1275" t="str">
        <f>IF(Indice_index!$Z$1=1,"Montante Global de despesa ","Global expenditure amount")</f>
        <v xml:space="preserve">Montante Global de despesa </v>
      </c>
      <c r="D87" s="1271"/>
      <c r="E87" s="1273">
        <f>+E85+E75</f>
        <v>2992.2350806400004</v>
      </c>
      <c r="F87" s="1273">
        <f>+F85+F75</f>
        <v>479.41371389999995</v>
      </c>
      <c r="G87" s="1273">
        <f>+G85+G75</f>
        <v>180.02320145000002</v>
      </c>
      <c r="H87" s="1273">
        <f>+H85+H75</f>
        <v>72.082157484999968</v>
      </c>
      <c r="I87" s="1273">
        <f>+I85+I75</f>
        <v>3723.7541534750007</v>
      </c>
      <c r="J87" s="642"/>
      <c r="K87" s="696"/>
    </row>
    <row r="88" spans="1:23" ht="4.5" customHeight="1">
      <c r="A88" s="420"/>
      <c r="B88" s="420"/>
      <c r="C88" s="1599"/>
      <c r="D88" s="1599"/>
      <c r="E88" s="1602"/>
      <c r="F88" s="1602"/>
      <c r="G88" s="1602"/>
      <c r="H88" s="1602"/>
      <c r="I88" s="1602"/>
      <c r="J88" s="619"/>
    </row>
    <row r="89" spans="1:23" ht="15" customHeight="1">
      <c r="A89" s="420"/>
      <c r="B89" s="420"/>
      <c r="C89" s="1297" t="str">
        <f>IF(Indice_index!$Z$1=1,"Notas:","Notes:")</f>
        <v>Notas:</v>
      </c>
      <c r="D89" s="1603"/>
      <c r="E89" s="1604"/>
      <c r="F89" s="1605"/>
      <c r="G89" s="1605"/>
      <c r="H89" s="1605"/>
      <c r="I89" s="1605"/>
      <c r="J89" s="619"/>
    </row>
    <row r="90" spans="1:23" ht="47.25" customHeight="1">
      <c r="C90" s="170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normalidade'"&amp;C182,C183)</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90" s="1706"/>
      <c r="E90" s="1706"/>
      <c r="F90" s="1706"/>
      <c r="G90" s="1706"/>
      <c r="H90" s="1706"/>
      <c r="I90" s="1706"/>
      <c r="K90" s="697"/>
    </row>
    <row r="91" spans="1:23" ht="15" customHeight="1">
      <c r="C91" s="1707" t="s">
        <v>585</v>
      </c>
      <c r="D91" s="1707" t="s">
        <v>585</v>
      </c>
      <c r="E91" s="1707" t="s">
        <v>585</v>
      </c>
      <c r="F91" s="1707" t="s">
        <v>585</v>
      </c>
      <c r="G91" s="1707" t="s">
        <v>585</v>
      </c>
      <c r="H91" s="1707" t="s">
        <v>585</v>
      </c>
      <c r="I91" s="1707" t="s">
        <v>585</v>
      </c>
    </row>
    <row r="92" spans="1:23" ht="25.35" customHeight="1">
      <c r="C92" s="170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92" s="1706" t="s">
        <v>587</v>
      </c>
      <c r="E92" s="1706" t="s">
        <v>587</v>
      </c>
      <c r="F92" s="1706" t="s">
        <v>587</v>
      </c>
      <c r="G92" s="1706" t="s">
        <v>587</v>
      </c>
      <c r="H92" s="1706" t="s">
        <v>587</v>
      </c>
      <c r="I92" s="1706" t="s">
        <v>587</v>
      </c>
    </row>
    <row r="93" spans="1:23" ht="15" customHeight="1">
      <c r="C93" s="1707" t="str">
        <f>IF(Indice_index!$Z$1=1,"Os dados da Administração Regional e Local são provisórios.","Data from regional and local governments are provisional.")</f>
        <v>Os dados da Administração Regional e Local são provisórios.</v>
      </c>
      <c r="D93" s="1707" t="s">
        <v>588</v>
      </c>
      <c r="E93" s="1707" t="s">
        <v>588</v>
      </c>
      <c r="F93" s="1707" t="s">
        <v>588</v>
      </c>
      <c r="G93" s="1707" t="s">
        <v>588</v>
      </c>
      <c r="H93" s="1707" t="s">
        <v>588</v>
      </c>
      <c r="I93" s="1707" t="s">
        <v>588</v>
      </c>
    </row>
    <row r="94" spans="1:23" ht="15.75" customHeight="1">
      <c r="C94" s="1712"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94" s="1712"/>
      <c r="E94" s="1712"/>
      <c r="F94" s="1712"/>
      <c r="G94" s="1712"/>
      <c r="H94" s="1712"/>
      <c r="I94" s="1606"/>
    </row>
    <row r="95" spans="1:23" s="420" customFormat="1" ht="4.5" customHeight="1">
      <c r="C95" s="1298"/>
      <c r="D95" s="1298"/>
      <c r="E95" s="1607"/>
      <c r="F95" s="1607"/>
      <c r="G95" s="1607"/>
      <c r="H95" s="1607"/>
      <c r="I95" s="1607"/>
      <c r="J95" s="619"/>
      <c r="M95" s="448"/>
      <c r="N95" s="448"/>
      <c r="P95" s="436"/>
      <c r="Q95" s="436"/>
      <c r="R95" s="436"/>
      <c r="S95" s="436"/>
      <c r="T95" s="436"/>
      <c r="U95" s="436"/>
      <c r="V95" s="436"/>
      <c r="W95" s="436"/>
    </row>
    <row r="96" spans="1:23" s="420" customFormat="1" ht="15" customHeight="1">
      <c r="C96" s="1299" t="s">
        <v>586</v>
      </c>
      <c r="D96" s="1298"/>
      <c r="E96" s="1607"/>
      <c r="F96" s="1607"/>
      <c r="G96" s="1607"/>
      <c r="H96" s="1607"/>
      <c r="I96" s="1607"/>
      <c r="J96" s="619"/>
      <c r="M96" s="448"/>
      <c r="N96" s="448"/>
      <c r="Q96" s="436"/>
      <c r="S96" s="436"/>
      <c r="U96" s="436"/>
    </row>
    <row r="97" spans="3:9" ht="12.75" customHeight="1">
      <c r="C97" s="1706" t="str">
        <f>IF(Indice_index!$Z$1=1,"Direção-Geral do Orçamento, Autoridade Tributária e Aduaneira, Ministério das Finanças, Instituto de Gestão Financeira da Segurança Social, I.P."&amp;C104,"Budget General Directorate, Tax and Customs Authority, Ministry of Finance, Social Security Finance Management Institute"&amp;C105)</f>
        <v>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v>
      </c>
      <c r="D97" s="1706"/>
      <c r="E97" s="1706"/>
      <c r="F97" s="1706"/>
      <c r="G97" s="1706"/>
      <c r="H97" s="1706"/>
      <c r="I97" s="1706"/>
    </row>
    <row r="98" spans="3:9" ht="22.5" customHeight="1">
      <c r="C98" s="1706"/>
      <c r="D98" s="1706"/>
      <c r="E98" s="1706"/>
      <c r="F98" s="1706"/>
      <c r="G98" s="1706"/>
      <c r="H98" s="1706"/>
      <c r="I98" s="1706"/>
    </row>
    <row r="100" spans="3:9">
      <c r="C100" s="598"/>
      <c r="D100" s="598"/>
      <c r="E100" s="599"/>
      <c r="F100" s="599"/>
      <c r="I100" s="599"/>
    </row>
    <row r="101" spans="3:9">
      <c r="C101" s="598"/>
      <c r="D101" s="598"/>
      <c r="E101" s="599"/>
      <c r="F101" s="599"/>
      <c r="I101" s="599"/>
    </row>
    <row r="102" spans="3:9">
      <c r="C102" s="598"/>
      <c r="D102" s="598"/>
      <c r="E102" s="599"/>
      <c r="F102" s="599"/>
      <c r="I102" s="599"/>
    </row>
    <row r="103" spans="3:9">
      <c r="C103" s="1711"/>
      <c r="D103" s="1711"/>
      <c r="E103" s="1711"/>
      <c r="F103" s="1711"/>
      <c r="G103" s="1711"/>
      <c r="H103" s="1711"/>
      <c r="I103" s="1711"/>
    </row>
    <row r="104" spans="3:9">
      <c r="C104" s="702" t="s">
        <v>594</v>
      </c>
      <c r="D104" s="598"/>
      <c r="E104" s="599"/>
      <c r="F104" s="599"/>
      <c r="I104" s="599"/>
    </row>
    <row r="105" spans="3:9">
      <c r="C105" s="557" t="s">
        <v>595</v>
      </c>
    </row>
    <row r="116" spans="3:9">
      <c r="C116" s="1710"/>
      <c r="D116" s="1710"/>
      <c r="E116" s="1710"/>
      <c r="F116" s="1710"/>
      <c r="G116" s="1710"/>
      <c r="H116" s="1710"/>
      <c r="I116" s="1710"/>
    </row>
    <row r="117" spans="3:9">
      <c r="C117" s="556"/>
    </row>
    <row r="182" spans="3:3">
      <c r="C182" s="557" t="s">
        <v>68</v>
      </c>
    </row>
    <row r="183" spans="3:3">
      <c r="C183" s="557" t="s">
        <v>69</v>
      </c>
    </row>
  </sheetData>
  <mergeCells count="10">
    <mergeCell ref="C2:I2"/>
    <mergeCell ref="C116:I116"/>
    <mergeCell ref="C97:I98"/>
    <mergeCell ref="C93:I93"/>
    <mergeCell ref="C91:I91"/>
    <mergeCell ref="C90:I90"/>
    <mergeCell ref="C92:I92"/>
    <mergeCell ref="C103:I103"/>
    <mergeCell ref="C4:I4"/>
    <mergeCell ref="C94:H94"/>
  </mergeCells>
  <printOptions horizontalCentered="1"/>
  <pageMargins left="0.70866141732283472" right="0.70866141732283472" top="0.74803149606299213" bottom="0.74803149606299213" header="0.74803149606299213" footer="0.35433070866141736"/>
  <pageSetup paperSize="9" scale="49"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140625" style="22" customWidth="1"/>
    <col min="4" max="4" width="6.85546875" style="22" hidden="1" customWidth="1"/>
    <col min="5" max="10" width="9.42578125" style="22" customWidth="1"/>
    <col min="11" max="11" width="8.5703125" style="22" customWidth="1"/>
    <col min="12" max="12" width="8.5703125" style="23" customWidth="1"/>
    <col min="13" max="16" width="8.5703125" style="22" customWidth="1"/>
    <col min="17" max="17" width="7.5703125" style="22" customWidth="1"/>
    <col min="18" max="18" width="12" style="22" bestFit="1" customWidth="1"/>
    <col min="19" max="19" width="7.5703125" style="24" customWidth="1"/>
    <col min="20" max="20" width="9.140625" style="24"/>
    <col min="21" max="16384" width="9.140625" style="22"/>
  </cols>
  <sheetData>
    <row r="1" spans="2:20" ht="15" customHeight="1"/>
    <row r="2" spans="2:20" ht="24" customHeight="1">
      <c r="B2" s="8"/>
      <c r="C2" s="21" t="str">
        <f>IF(Indice_index!$Z$1=1,"5 - Conta Consolidada da Administração Central e Segurança Social","5 - Central Government and Social Security Consolidated Account")</f>
        <v>5 - Conta Consolidada da Administração Central e Segurança Social</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690" t="str">
        <f>IF(Indice_index!$Z$1=1,"Período: janeiro a dezembro","Period: January to December")</f>
        <v>Período: janeiro a dezembro</v>
      </c>
      <c r="D5" s="690"/>
      <c r="E5" s="690"/>
      <c r="F5" s="915"/>
      <c r="H5" s="915"/>
      <c r="I5" s="915"/>
      <c r="J5" s="916" t="str">
        <f>IF(Indice_index!$Z$1=1,"€ Milhões","€ Millions")</f>
        <v>€ Milhões</v>
      </c>
      <c r="L5" s="260"/>
      <c r="S5" s="261"/>
      <c r="T5" s="261"/>
    </row>
    <row r="6" spans="2:20" ht="35.25" customHeight="1">
      <c r="C6" s="917"/>
      <c r="D6" s="686" t="str">
        <f>IF(Indice_index!$Z$1=1,"CGE","Final execution")</f>
        <v>CGE</v>
      </c>
      <c r="E6" s="686" t="str">
        <f>IF(Indice_index!$Z$1=1,"Orçamento Inicial","Budget")</f>
        <v>Orçamento Inicial</v>
      </c>
      <c r="F6" s="1713" t="str">
        <f>IF(Indice_index!$Z$1=1,"Execução Acumulada","Accumulated Execution")</f>
        <v>Execução Acumulada</v>
      </c>
      <c r="G6" s="1713"/>
      <c r="H6" s="918" t="str">
        <f>IF(Indice_index!$Z$1=1,"Grau de Execução (%)","Execution Degree (%)")</f>
        <v>Grau de Execução (%)</v>
      </c>
      <c r="I6" s="1714" t="str">
        <f>IF(Indice_index!$Z$1=1,"Variação Homóloga Acumulada","YOY Change Rate")</f>
        <v>Variação Homóloga Acumulada</v>
      </c>
      <c r="J6" s="1715"/>
    </row>
    <row r="7" spans="2:20" ht="22.5">
      <c r="C7" s="919"/>
      <c r="D7" s="687" t="s">
        <v>67</v>
      </c>
      <c r="E7" s="687" t="s">
        <v>73</v>
      </c>
      <c r="F7" s="765" t="s">
        <v>67</v>
      </c>
      <c r="G7" s="765" t="s">
        <v>73</v>
      </c>
      <c r="H7" s="920" t="s">
        <v>73</v>
      </c>
      <c r="I7" s="765" t="str">
        <f>IF(Indice_index!$Z$1=1,"Relativa (%)","Relative change (%)")</f>
        <v>Relativa (%)</v>
      </c>
      <c r="J7" s="768" t="str">
        <f>IF(Indice_index!$Z$1=1,"Contributo VHA (p.p.)","YOY Change Rate Contrib. (p.p.)")</f>
        <v>Contributo VHA (p.p.)</v>
      </c>
    </row>
    <row r="8" spans="2:20" ht="5.25" customHeight="1">
      <c r="C8" s="921"/>
      <c r="D8" s="921"/>
      <c r="E8" s="921"/>
      <c r="F8" s="922"/>
      <c r="G8" s="922"/>
      <c r="H8" s="922"/>
      <c r="I8" s="922"/>
      <c r="J8" s="922"/>
    </row>
    <row r="9" spans="2:20" s="259" customFormat="1" ht="15" customHeight="1">
      <c r="C9" s="923" t="str">
        <f>IF(Indice_index!$Z$1=1,"Receita corrente","Current revenue")</f>
        <v>Receita corrente</v>
      </c>
      <c r="D9" s="923">
        <f t="shared" ref="D9:E9" si="0">SUM(D11:D14)+D17+D18</f>
        <v>82956.108804729985</v>
      </c>
      <c r="E9" s="923">
        <f t="shared" si="0"/>
        <v>89669.727382998812</v>
      </c>
      <c r="F9" s="923">
        <f t="shared" ref="F9" si="1">SUM(F11:F14)+F17+F18</f>
        <v>82956.108804729985</v>
      </c>
      <c r="G9" s="923">
        <f t="shared" ref="G9" si="2">SUM(G11:G14)+G17+G18</f>
        <v>92122.01283698999</v>
      </c>
      <c r="H9" s="924">
        <f>IFERROR(IF(G9/E9*100&lt;-500,"-",IF(G9/E9*100&gt;500,"-",G9/E9*100)),"-")</f>
        <v>102.73479749025771</v>
      </c>
      <c r="I9" s="924">
        <f>IF(IFERROR((G9-F9)/F9*100,"")&gt;500,"-",IFERROR((G9-F9)/F9*100,""))</f>
        <v>11.049100740532063</v>
      </c>
      <c r="J9" s="925">
        <f>IFERROR((G9-F9)/$F$27*100,"")</f>
        <v>10.889599330623509</v>
      </c>
      <c r="K9" s="261"/>
      <c r="L9" s="262"/>
      <c r="M9" s="263"/>
      <c r="N9" s="263"/>
      <c r="O9" s="263"/>
      <c r="P9" s="263"/>
      <c r="Q9" s="263"/>
      <c r="R9" s="263"/>
      <c r="S9" s="263"/>
      <c r="T9" s="261"/>
    </row>
    <row r="10" spans="2:20" ht="15" customHeight="1">
      <c r="C10" s="926" t="str">
        <f>IF(Indice_index!$Z$1=1,"Receita fiscal","Tax")</f>
        <v>Receita fiscal</v>
      </c>
      <c r="D10" s="927">
        <f t="shared" ref="D10:E10" si="3">+D11+D12</f>
        <v>46371.175763009996</v>
      </c>
      <c r="E10" s="927">
        <f t="shared" si="3"/>
        <v>49467.141157999999</v>
      </c>
      <c r="F10" s="927">
        <f t="shared" ref="F10" si="4">+F11+F12</f>
        <v>46371.175763009996</v>
      </c>
      <c r="G10" s="927">
        <f t="shared" ref="G10" si="5">+G11+G12</f>
        <v>52874.199091889997</v>
      </c>
      <c r="H10" s="928">
        <f>IFERROR(IF(G10/E10*100&lt;-500,"-",IF(G10/E10*100&gt;500,"-",G10/E10*100)),"-")</f>
        <v>106.88751735825551</v>
      </c>
      <c r="I10" s="928">
        <f>IF(IFERROR((G10-F10)/F10*100,"")&gt;500,"-",IFERROR((G10-F10)/F10*100,""))</f>
        <v>14.023848267542578</v>
      </c>
      <c r="J10" s="929">
        <f t="shared" ref="J10:J17" si="6">IFERROR((G10-F10)/$F$27*100,"")</f>
        <v>7.7259502434196925</v>
      </c>
      <c r="K10" s="24"/>
      <c r="L10" s="26"/>
      <c r="M10" s="26"/>
      <c r="N10" s="27"/>
      <c r="O10" s="27"/>
      <c r="P10" s="27"/>
      <c r="Q10" s="27"/>
      <c r="R10" s="27"/>
      <c r="S10" s="27"/>
    </row>
    <row r="11" spans="2:20" ht="15" customHeight="1">
      <c r="C11" s="930" t="str">
        <f>IF(Indice_index!$Z$1=1,"Impostos diretos ","Direct taxes")</f>
        <v xml:space="preserve">Impostos diretos </v>
      </c>
      <c r="D11" s="927">
        <v>19956.944554760001</v>
      </c>
      <c r="E11" s="927">
        <v>20904.899710000002</v>
      </c>
      <c r="F11" s="927">
        <v>19956.944554760001</v>
      </c>
      <c r="G11" s="927">
        <v>23377.274777119997</v>
      </c>
      <c r="H11" s="928">
        <f t="shared" ref="H11:H24" si="7">IFERROR(IF(G11/E11*100&lt;-500,"-",IF(G11/E11*100&gt;500,"-",G11/E11*100)),"-")</f>
        <v>111.82677315566035</v>
      </c>
      <c r="I11" s="928">
        <f>IF(IFERROR((G11-F11)/F11*100,"")&gt;500,"-",IFERROR((G11-F11)/F11*100,""))</f>
        <v>17.138546499314707</v>
      </c>
      <c r="J11" s="929">
        <f t="shared" si="6"/>
        <v>4.0635408759281058</v>
      </c>
      <c r="K11" s="24"/>
      <c r="L11" s="26"/>
      <c r="M11" s="26"/>
      <c r="N11" s="27"/>
      <c r="O11" s="27"/>
      <c r="P11" s="27"/>
      <c r="Q11" s="27"/>
      <c r="R11" s="27"/>
      <c r="S11" s="27"/>
    </row>
    <row r="12" spans="2:20" ht="15" customHeight="1">
      <c r="C12" s="930" t="str">
        <f>IF(Indice_index!$Z$1=1,"Impostos indiretos","Indirect taxes")</f>
        <v>Impostos indiretos</v>
      </c>
      <c r="D12" s="927">
        <v>26414.231208249996</v>
      </c>
      <c r="E12" s="927">
        <v>28562.241448000001</v>
      </c>
      <c r="F12" s="927">
        <v>26414.231208249996</v>
      </c>
      <c r="G12" s="927">
        <v>29496.92431477</v>
      </c>
      <c r="H12" s="928">
        <f t="shared" si="7"/>
        <v>103.27244228528659</v>
      </c>
      <c r="I12" s="928">
        <f t="shared" ref="I12:I23" si="8">IF(IFERROR((G12-F12)/F12*100,"")&gt;500,"-",IFERROR((G12-F12)/F12*100,""))</f>
        <v>11.670576675944226</v>
      </c>
      <c r="J12" s="929">
        <f t="shared" si="6"/>
        <v>3.6624093674915863</v>
      </c>
      <c r="K12" s="24"/>
      <c r="L12" s="26"/>
      <c r="M12" s="26"/>
      <c r="N12" s="27"/>
      <c r="O12" s="27"/>
      <c r="P12" s="27"/>
      <c r="Q12" s="27"/>
      <c r="R12" s="27"/>
      <c r="S12" s="27"/>
    </row>
    <row r="13" spans="2:20" ht="15" customHeight="1">
      <c r="C13" s="931" t="str">
        <f>IF(Indice_index!$Z$1=1,"Contribuições para Segurança Social, CGA e ADSE","Social security, CGA and ADSE contributions")</f>
        <v>Contribuições para Segurança Social, CGA e ADSE</v>
      </c>
      <c r="D13" s="927">
        <v>24205.521009029995</v>
      </c>
      <c r="E13" s="927">
        <v>25361.125842000001</v>
      </c>
      <c r="F13" s="927">
        <v>24205.521009029995</v>
      </c>
      <c r="G13" s="927">
        <v>26457.763606109998</v>
      </c>
      <c r="H13" s="928">
        <f t="shared" si="7"/>
        <v>104.32408943886031</v>
      </c>
      <c r="I13" s="928">
        <f>IF(IFERROR((G13-F13)/F13*100,"")&gt;500,"-",IFERROR((G13-F13)/F13*100,""))</f>
        <v>9.3046648169225215</v>
      </c>
      <c r="J13" s="929">
        <f t="shared" si="6"/>
        <v>2.6757883773649831</v>
      </c>
      <c r="K13" s="24"/>
      <c r="L13" s="26"/>
      <c r="M13" s="26"/>
      <c r="N13" s="27"/>
      <c r="O13" s="27"/>
      <c r="P13" s="27"/>
      <c r="Q13" s="27"/>
      <c r="R13" s="27"/>
      <c r="S13" s="27"/>
    </row>
    <row r="14" spans="2:20" ht="15" customHeight="1">
      <c r="C14" s="931" t="str">
        <f>IF(Indice_index!$Z$1=1,"Transferências Correntes","Current transfers")</f>
        <v>Transferências Correntes</v>
      </c>
      <c r="D14" s="927">
        <f>+D15+D16</f>
        <v>3030.6102374100001</v>
      </c>
      <c r="E14" s="927">
        <f>+E15+E16</f>
        <v>4871.3390229988308</v>
      </c>
      <c r="F14" s="927">
        <f>+F15+F16</f>
        <v>3030.6102374100001</v>
      </c>
      <c r="G14" s="927">
        <f>+G15+G16</f>
        <v>2606.8347460200002</v>
      </c>
      <c r="H14" s="928">
        <f t="shared" si="7"/>
        <v>53.513720431127254</v>
      </c>
      <c r="I14" s="928">
        <f>IF(IFERROR((G14-F14)/F14*100,"")&gt;500,"-",IFERROR((G14-F14)/F14*100,""))</f>
        <v>-13.983173624865863</v>
      </c>
      <c r="J14" s="929">
        <f t="shared" si="6"/>
        <v>-0.50346864762420485</v>
      </c>
      <c r="K14" s="24"/>
      <c r="L14" s="26"/>
      <c r="M14" s="27"/>
      <c r="N14" s="27"/>
      <c r="O14" s="27"/>
      <c r="P14" s="27"/>
      <c r="Q14" s="27"/>
      <c r="R14" s="27"/>
      <c r="S14" s="27"/>
    </row>
    <row r="15" spans="2:20" ht="15" customHeight="1">
      <c r="C15" s="932" t="str">
        <f>IF(Indice_index!$Z$1=1,"Administrações Públicas","General Government subsectors")</f>
        <v>Administrações Públicas</v>
      </c>
      <c r="D15" s="927">
        <v>189.88059364999935</v>
      </c>
      <c r="E15" s="927">
        <v>166.40293599999859</v>
      </c>
      <c r="F15" s="927">
        <v>189.88059364999935</v>
      </c>
      <c r="G15" s="927">
        <v>203.04384382999999</v>
      </c>
      <c r="H15" s="928">
        <f t="shared" si="7"/>
        <v>122.01938782498507</v>
      </c>
      <c r="I15" s="928">
        <f>IF(IFERROR((G15-F15)/F15*100,"")&gt;500,"-",IFERROR((G15-F15)/F15*100,""))</f>
        <v>6.9323830976977128</v>
      </c>
      <c r="J15" s="929">
        <f t="shared" si="6"/>
        <v>1.5638666938303212E-2</v>
      </c>
      <c r="K15" s="24"/>
      <c r="L15" s="26"/>
      <c r="M15" s="27"/>
      <c r="N15" s="27"/>
      <c r="O15" s="27"/>
      <c r="P15" s="27"/>
      <c r="Q15" s="27"/>
      <c r="R15" s="27"/>
      <c r="S15" s="27"/>
    </row>
    <row r="16" spans="2:20" ht="15" customHeight="1">
      <c r="C16" s="932" t="str">
        <f>IF(Indice_index!$Z$1=1,"Outras","Others")</f>
        <v>Outras</v>
      </c>
      <c r="D16" s="927">
        <v>2840.7296437600007</v>
      </c>
      <c r="E16" s="927">
        <v>4704.9360869988323</v>
      </c>
      <c r="F16" s="927">
        <v>2840.7296437600007</v>
      </c>
      <c r="G16" s="927">
        <v>2403.7909021900005</v>
      </c>
      <c r="H16" s="928">
        <f t="shared" si="7"/>
        <v>51.090830092940152</v>
      </c>
      <c r="I16" s="928">
        <f>IF(IFERROR((G16-F16)/F16*100,"")&gt;500,"-",IFERROR((G16-F16)/F16*100,""))</f>
        <v>-15.381215263824489</v>
      </c>
      <c r="J16" s="929">
        <f t="shared" si="6"/>
        <v>-0.5191073145625078</v>
      </c>
      <c r="K16" s="24"/>
      <c r="L16" s="26"/>
      <c r="M16" s="27"/>
      <c r="N16" s="27"/>
      <c r="O16" s="27"/>
      <c r="P16" s="27"/>
      <c r="Q16" s="27"/>
      <c r="R16" s="27"/>
      <c r="S16" s="27"/>
    </row>
    <row r="17" spans="3:20" ht="15" customHeight="1">
      <c r="C17" s="931" t="str">
        <f>IF(Indice_index!$Z$1=1,"Outras receitas correntes","Other current revenue")</f>
        <v>Outras receitas correntes</v>
      </c>
      <c r="D17" s="927">
        <v>9308.8380039000003</v>
      </c>
      <c r="E17" s="927">
        <v>9953.5537159999985</v>
      </c>
      <c r="F17" s="927">
        <v>9308.8380039000003</v>
      </c>
      <c r="G17" s="927">
        <v>9930.3744576600056</v>
      </c>
      <c r="H17" s="928">
        <f t="shared" si="7"/>
        <v>99.767125802488692</v>
      </c>
      <c r="I17" s="928">
        <f t="shared" si="8"/>
        <v>6.6768425178266977</v>
      </c>
      <c r="J17" s="929">
        <f t="shared" si="6"/>
        <v>0.7384195739996452</v>
      </c>
      <c r="K17" s="24"/>
      <c r="L17" s="26"/>
      <c r="M17" s="27"/>
      <c r="N17" s="27"/>
      <c r="O17" s="27"/>
      <c r="P17" s="27"/>
      <c r="Q17" s="27"/>
      <c r="R17" s="27"/>
      <c r="S17" s="27"/>
    </row>
    <row r="18" spans="3:20" ht="15" customHeight="1">
      <c r="C18" s="931" t="str">
        <f>IF(Indice_index!$Z$1=1,"Diferenças de consolidação","Consolidation differences")</f>
        <v>Diferenças de consolidação</v>
      </c>
      <c r="D18" s="927">
        <v>39.963791379997609</v>
      </c>
      <c r="E18" s="927">
        <v>16.567643999995955</v>
      </c>
      <c r="F18" s="927">
        <v>39.963791379997609</v>
      </c>
      <c r="G18" s="927">
        <v>252.84093531000394</v>
      </c>
      <c r="H18" s="928"/>
      <c r="I18" s="929"/>
      <c r="J18" s="929"/>
      <c r="K18" s="24"/>
      <c r="L18" s="26"/>
      <c r="M18" s="27"/>
      <c r="N18" s="27"/>
      <c r="O18" s="27"/>
      <c r="P18" s="27"/>
      <c r="Q18" s="27"/>
      <c r="R18" s="27"/>
      <c r="S18" s="27"/>
    </row>
    <row r="19" spans="3:20" s="264" customFormat="1" ht="15" customHeight="1">
      <c r="C19" s="923" t="str">
        <f>IF(Indice_index!$Z$1=1,"Receita de capital","Capital revenue")</f>
        <v>Receita de capital</v>
      </c>
      <c r="D19" s="923">
        <f t="shared" ref="D19:E19" si="9">+D20+D21+D24+D25</f>
        <v>1215.0691603200003</v>
      </c>
      <c r="E19" s="923">
        <f t="shared" si="9"/>
        <v>3672.4989230000001</v>
      </c>
      <c r="F19" s="923">
        <f t="shared" ref="F19" si="10">+F20+F21+F24+F25</f>
        <v>1215.0691603200003</v>
      </c>
      <c r="G19" s="923">
        <f t="shared" ref="G19" si="11">+G20+G21+G24+G25</f>
        <v>1569.1561633000003</v>
      </c>
      <c r="H19" s="924">
        <f t="shared" si="7"/>
        <v>42.727205540422162</v>
      </c>
      <c r="I19" s="924">
        <f>IF(IFERROR((G19-F19)/F19*100,"")&gt;500,"-",IFERROR((G19-F19)/F19*100,""))</f>
        <v>29.141304424741371</v>
      </c>
      <c r="J19" s="925">
        <f t="shared" ref="J19:J24" si="12">IFERROR((G19-F19)/$F$27*100,"")</f>
        <v>0.42067488128421587</v>
      </c>
      <c r="K19" s="261"/>
      <c r="L19" s="262"/>
      <c r="M19" s="263"/>
      <c r="N19" s="263"/>
      <c r="O19" s="263"/>
      <c r="P19" s="263"/>
      <c r="Q19" s="263"/>
      <c r="R19" s="263"/>
      <c r="S19" s="263"/>
      <c r="T19" s="261"/>
    </row>
    <row r="20" spans="3:20" ht="15" customHeight="1">
      <c r="C20" s="931" t="str">
        <f>IF(Indice_index!$Z$1=1,"Venda de bens de investimento","Sale of investment goods")</f>
        <v>Venda de bens de investimento</v>
      </c>
      <c r="D20" s="927">
        <v>155.06244905999998</v>
      </c>
      <c r="E20" s="927">
        <v>187.87176300000002</v>
      </c>
      <c r="F20" s="927">
        <v>155.06244905999998</v>
      </c>
      <c r="G20" s="927">
        <v>141.35851118000002</v>
      </c>
      <c r="H20" s="928">
        <f t="shared" si="7"/>
        <v>75.242020899117236</v>
      </c>
      <c r="I20" s="928">
        <f>IF(IFERROR((G20-F20)/F20*100,"")&gt;500,"-",IFERROR((G20-F20)/F20*100,""))</f>
        <v>-8.8376895651231102</v>
      </c>
      <c r="J20" s="929">
        <f t="shared" si="12"/>
        <v>-1.6281033735431598E-2</v>
      </c>
      <c r="K20" s="24"/>
      <c r="L20" s="26"/>
      <c r="M20" s="26"/>
      <c r="N20" s="27"/>
      <c r="O20" s="27"/>
      <c r="P20" s="27"/>
      <c r="Q20" s="27"/>
      <c r="R20" s="27"/>
      <c r="S20" s="27"/>
    </row>
    <row r="21" spans="3:20" ht="15" customHeight="1">
      <c r="C21" s="931" t="str">
        <f>IF(Indice_index!$Z$1=1,"Transferências de Capital","Capital transfers")</f>
        <v>Transferências de Capital</v>
      </c>
      <c r="D21" s="927">
        <f t="shared" ref="D21:E21" si="13">+D22+D23</f>
        <v>1018.6108192299999</v>
      </c>
      <c r="E21" s="927">
        <f t="shared" si="13"/>
        <v>3431.2003119999999</v>
      </c>
      <c r="F21" s="927">
        <f t="shared" ref="F21" si="14">+F22+F23</f>
        <v>1018.6108192299999</v>
      </c>
      <c r="G21" s="927">
        <f t="shared" ref="G21" si="15">+G22+G23</f>
        <v>1327.1170246100003</v>
      </c>
      <c r="H21" s="928">
        <f t="shared" si="7"/>
        <v>38.677923290244806</v>
      </c>
      <c r="I21" s="928">
        <f>IF(IFERROR((G21-F21)/F21*100,"")&gt;500,"-",IFERROR((G21-F21)/F21*100,""))</f>
        <v>30.286955484451845</v>
      </c>
      <c r="J21" s="929">
        <f t="shared" si="12"/>
        <v>0.36652238074664939</v>
      </c>
      <c r="K21" s="24"/>
      <c r="L21" s="26"/>
      <c r="M21" s="27"/>
      <c r="N21" s="27"/>
      <c r="O21" s="27"/>
      <c r="P21" s="27"/>
      <c r="Q21" s="27"/>
      <c r="R21" s="27"/>
      <c r="S21" s="27"/>
    </row>
    <row r="22" spans="3:20" ht="15" customHeight="1">
      <c r="C22" s="932" t="str">
        <f>IF(Indice_index!$Z$1=1,"Administrações Públicas","General Government subsectors")</f>
        <v>Administrações Públicas</v>
      </c>
      <c r="D22" s="927">
        <v>8.1522407000000001</v>
      </c>
      <c r="E22" s="927">
        <v>32.726060000000004</v>
      </c>
      <c r="F22" s="927">
        <v>8.1522407000000001</v>
      </c>
      <c r="G22" s="927">
        <v>10.058311639999999</v>
      </c>
      <c r="H22" s="928">
        <f t="shared" si="7"/>
        <v>30.734868908753448</v>
      </c>
      <c r="I22" s="928">
        <f>IF(IFERROR((G22-F22)/F22*100,"")&gt;500,"-",IFERROR((G22-F22)/F22*100,""))</f>
        <v>23.380945314826135</v>
      </c>
      <c r="J22" s="929">
        <f t="shared" si="12"/>
        <v>2.2645173634037157E-3</v>
      </c>
      <c r="K22" s="24"/>
      <c r="L22" s="26"/>
      <c r="M22" s="27"/>
      <c r="N22" s="27"/>
      <c r="O22" s="27"/>
      <c r="P22" s="27"/>
      <c r="Q22" s="27"/>
      <c r="R22" s="27"/>
      <c r="S22" s="27"/>
    </row>
    <row r="23" spans="3:20" ht="15" customHeight="1">
      <c r="C23" s="932" t="str">
        <f>IF(Indice_index!$Z$1=1,"Outras","Others")</f>
        <v>Outras</v>
      </c>
      <c r="D23" s="927">
        <v>1010.45857853</v>
      </c>
      <c r="E23" s="927">
        <v>3398.474252</v>
      </c>
      <c r="F23" s="927">
        <v>1010.45857853</v>
      </c>
      <c r="G23" s="927">
        <v>1317.0587129700002</v>
      </c>
      <c r="H23" s="928">
        <f t="shared" si="7"/>
        <v>38.754411989289373</v>
      </c>
      <c r="I23" s="928">
        <f t="shared" si="8"/>
        <v>30.342672223738017</v>
      </c>
      <c r="J23" s="929">
        <f t="shared" si="12"/>
        <v>0.36425786338324556</v>
      </c>
      <c r="K23" s="24"/>
      <c r="L23" s="26"/>
      <c r="M23" s="27"/>
      <c r="N23" s="27"/>
      <c r="O23" s="27"/>
      <c r="P23" s="27"/>
      <c r="Q23" s="27"/>
      <c r="R23" s="27"/>
      <c r="S23" s="27"/>
    </row>
    <row r="24" spans="3:20" ht="15" customHeight="1">
      <c r="C24" s="931" t="str">
        <f>IF(Indice_index!$Z$1=1,"Outras receitas de capital","Other capital revenue")</f>
        <v>Outras receitas de capital</v>
      </c>
      <c r="D24" s="927">
        <v>26.772300769999998</v>
      </c>
      <c r="E24" s="927">
        <v>44.065900000000006</v>
      </c>
      <c r="F24" s="927">
        <v>26.772300769999998</v>
      </c>
      <c r="G24" s="927">
        <v>97.441770399999996</v>
      </c>
      <c r="H24" s="928">
        <f t="shared" si="7"/>
        <v>221.12738058226427</v>
      </c>
      <c r="I24" s="928">
        <f>IF(IFERROR((G24-F24)/F24*100,"")&gt;500,"-",IFERROR((G24-F24)/F24*100,""))</f>
        <v>263.96487263877395</v>
      </c>
      <c r="J24" s="929">
        <f t="shared" si="12"/>
        <v>8.3959226113413499E-2</v>
      </c>
      <c r="K24" s="24"/>
      <c r="L24" s="26"/>
      <c r="M24" s="26"/>
      <c r="N24" s="27"/>
      <c r="O24" s="27"/>
      <c r="P24" s="27"/>
      <c r="Q24" s="27"/>
      <c r="R24" s="27"/>
      <c r="S24" s="27"/>
    </row>
    <row r="25" spans="3:20" ht="15" customHeight="1">
      <c r="C25" s="931" t="str">
        <f>IF(Indice_index!$Z$1=1,"Diferenças de consolidação","Consolidation differences")</f>
        <v>Diferenças de consolidação</v>
      </c>
      <c r="D25" s="927">
        <v>14.623591260000369</v>
      </c>
      <c r="E25" s="927">
        <v>9.3609479999999721</v>
      </c>
      <c r="F25" s="927">
        <v>14.623591260000369</v>
      </c>
      <c r="G25" s="927">
        <v>3.2388571100000489</v>
      </c>
      <c r="H25" s="929"/>
      <c r="I25" s="929"/>
      <c r="J25" s="929"/>
      <c r="K25" s="24"/>
      <c r="L25" s="26"/>
      <c r="M25" s="27"/>
      <c r="N25" s="27"/>
      <c r="O25" s="27"/>
      <c r="P25" s="27"/>
      <c r="Q25" s="27"/>
      <c r="R25" s="27"/>
      <c r="S25" s="27"/>
    </row>
    <row r="26" spans="3:20" ht="5.0999999999999996" customHeight="1">
      <c r="C26" s="933"/>
      <c r="D26" s="933"/>
      <c r="E26" s="933"/>
      <c r="F26" s="933"/>
      <c r="G26" s="927"/>
      <c r="H26" s="929"/>
      <c r="I26" s="929"/>
      <c r="J26" s="929"/>
      <c r="K26" s="24"/>
      <c r="L26" s="26"/>
      <c r="M26" s="27"/>
      <c r="N26" s="27"/>
      <c r="O26" s="27"/>
      <c r="P26" s="27"/>
      <c r="Q26" s="27"/>
      <c r="R26" s="27"/>
      <c r="S26" s="27"/>
    </row>
    <row r="27" spans="3:20" s="259" customFormat="1" ht="15" customHeight="1">
      <c r="C27" s="934" t="str">
        <f>IF(Indice_index!$Z$1=1,"Receita efetiva","Effective revenue")</f>
        <v>Receita efetiva</v>
      </c>
      <c r="D27" s="934">
        <f>+D9+D19</f>
        <v>84171.177965049981</v>
      </c>
      <c r="E27" s="934">
        <f>+E9+E19</f>
        <v>93342.226305998818</v>
      </c>
      <c r="F27" s="934">
        <f>+F9+F19</f>
        <v>84171.177965049981</v>
      </c>
      <c r="G27" s="934">
        <f>+G9+G19</f>
        <v>93691.169000289985</v>
      </c>
      <c r="H27" s="935">
        <f>IFERROR(IF(G27/E27*100&lt;-500,"-",IF(G27/E27*100&gt;500,"-",G27/E27*100)),"-")</f>
        <v>100.37383155309286</v>
      </c>
      <c r="I27" s="935">
        <f>IF(IFERROR((G27-F27)/F27*100,"")&gt;500,"-",IFERROR((G27-F27)/F27*100,""))</f>
        <v>11.310274211907723</v>
      </c>
      <c r="J27" s="936"/>
      <c r="K27" s="261"/>
      <c r="L27" s="262"/>
      <c r="M27" s="263"/>
      <c r="N27" s="263"/>
      <c r="O27" s="263"/>
      <c r="P27" s="263"/>
      <c r="Q27" s="263"/>
      <c r="R27" s="263"/>
      <c r="S27" s="263"/>
      <c r="T27" s="261"/>
    </row>
    <row r="28" spans="3:20" ht="4.3499999999999996" customHeight="1">
      <c r="C28" s="933"/>
      <c r="D28" s="933"/>
      <c r="E28" s="933"/>
      <c r="F28" s="33"/>
      <c r="G28" s="927"/>
      <c r="H28" s="929"/>
      <c r="I28" s="929"/>
      <c r="J28" s="929"/>
      <c r="K28" s="24"/>
      <c r="L28" s="26"/>
      <c r="M28" s="27"/>
      <c r="N28" s="27"/>
      <c r="O28" s="27"/>
      <c r="P28" s="27"/>
      <c r="Q28" s="27"/>
      <c r="R28" s="27"/>
      <c r="S28" s="27"/>
    </row>
    <row r="29" spans="3:20" s="259" customFormat="1" ht="15" customHeight="1">
      <c r="C29" s="923" t="str">
        <f>IF(Indice_index!$Z$1=1,"Despesa corrente","Current expenditure")</f>
        <v>Despesa corrente</v>
      </c>
      <c r="D29" s="923">
        <f t="shared" ref="D29:E29" si="16">+D30+D34+D35+D36+D39+D40+D41</f>
        <v>86897.400296310036</v>
      </c>
      <c r="E29" s="923">
        <f t="shared" si="16"/>
        <v>90194.621481000009</v>
      </c>
      <c r="F29" s="923">
        <f t="shared" ref="F29" si="17">+F30+F34+F35+F36+F39+F40+F41</f>
        <v>86897.400296310036</v>
      </c>
      <c r="G29" s="923">
        <f t="shared" ref="G29" si="18">+G30+G34+G35+G36+G39+G40+G41</f>
        <v>91468.918817009981</v>
      </c>
      <c r="H29" s="924">
        <f t="shared" ref="H29:H47" si="19">IFERROR(IF(G29/E29*100&lt;-500,"-",IF(G29/E29*100&gt;500,"-",G29/E29*100)),"-")</f>
        <v>101.41283073767144</v>
      </c>
      <c r="I29" s="924">
        <f>IF(IFERROR((G29-F29)/F29*100,"")&gt;500,"-",IFERROR((G29-F29)/F29*100,""))</f>
        <v>5.2608231145138955</v>
      </c>
      <c r="J29" s="925">
        <f>IFERROR((G29-F29)/$F$50*100,"")</f>
        <v>4.9440190794559022</v>
      </c>
      <c r="K29" s="261"/>
      <c r="L29" s="262"/>
      <c r="M29" s="263"/>
      <c r="N29" s="263"/>
      <c r="O29" s="263"/>
      <c r="P29" s="263"/>
      <c r="Q29" s="263"/>
      <c r="R29" s="263"/>
      <c r="S29" s="263"/>
      <c r="T29" s="261"/>
    </row>
    <row r="30" spans="3:20" ht="15" customHeight="1">
      <c r="C30" s="931" t="str">
        <f>IF(Indice_index!$Z$1=1,"Despesas com o pessoal","Employees")</f>
        <v>Despesas com o pessoal</v>
      </c>
      <c r="D30" s="927">
        <f t="shared" ref="D30:E30" si="20">+D31+D32+D33</f>
        <v>19006.993351709996</v>
      </c>
      <c r="E30" s="927">
        <f t="shared" si="20"/>
        <v>19280.685428000001</v>
      </c>
      <c r="F30" s="927">
        <f t="shared" ref="F30" si="21">+F31+F32+F33</f>
        <v>19006.993351709996</v>
      </c>
      <c r="G30" s="927">
        <f t="shared" ref="G30" si="22">+G31+G32+G33</f>
        <v>19307.447140709999</v>
      </c>
      <c r="H30" s="928">
        <f t="shared" si="19"/>
        <v>100.13880062931339</v>
      </c>
      <c r="I30" s="928">
        <f>IF(IFERROR((G30-F30)/F30*100,"")&gt;500,"-",IFERROR((G30-F30)/F30*100,""))</f>
        <v>1.5807539016841505</v>
      </c>
      <c r="J30" s="929">
        <f t="shared" ref="J30:J40" si="23">IFERROR((G30-F30)/$F$50*100,"")</f>
        <v>0.32493563322223951</v>
      </c>
      <c r="K30" s="24"/>
      <c r="L30" s="26"/>
      <c r="M30" s="26"/>
      <c r="N30" s="27"/>
      <c r="O30" s="27"/>
      <c r="P30" s="27"/>
      <c r="Q30" s="27"/>
      <c r="R30" s="27"/>
      <c r="S30" s="27"/>
    </row>
    <row r="31" spans="3:20" ht="15" customHeight="1">
      <c r="C31" s="932" t="str">
        <f>IF(Indice_index!$Z$1=1,"Remunerações Certas e Permanentes","Certain and permanent wages")</f>
        <v>Remunerações Certas e Permanentes</v>
      </c>
      <c r="D31" s="927">
        <v>13533.620271419999</v>
      </c>
      <c r="E31" s="927">
        <v>14143.222876</v>
      </c>
      <c r="F31" s="927">
        <v>13533.620271419999</v>
      </c>
      <c r="G31" s="927">
        <v>13752.713133919997</v>
      </c>
      <c r="H31" s="928">
        <f t="shared" si="19"/>
        <v>97.238891407540009</v>
      </c>
      <c r="I31" s="928">
        <f>IF(IFERROR((G31-F31)/F31*100,"")&gt;500,"-",IFERROR((G31-F31)/F31*100,""))</f>
        <v>1.618878453111865</v>
      </c>
      <c r="J31" s="929">
        <f t="shared" si="23"/>
        <v>0.23694518297756989</v>
      </c>
      <c r="K31" s="24"/>
      <c r="L31" s="26"/>
      <c r="M31" s="26"/>
      <c r="N31" s="27"/>
      <c r="O31" s="27"/>
      <c r="P31" s="27"/>
      <c r="Q31" s="27"/>
      <c r="R31" s="27"/>
      <c r="S31" s="27"/>
    </row>
    <row r="32" spans="3:20" ht="15" customHeight="1">
      <c r="C32" s="932" t="str">
        <f>IF(Indice_index!$Z$1=1,"Abonos Variáveis ou Eventuais","Variable or contingent bonuses")</f>
        <v>Abonos Variáveis ou Eventuais</v>
      </c>
      <c r="D32" s="927">
        <v>1337.0660552600004</v>
      </c>
      <c r="E32" s="927">
        <v>1294.5149609999999</v>
      </c>
      <c r="F32" s="927">
        <v>1337.0660552600004</v>
      </c>
      <c r="G32" s="927">
        <v>1385.6892548500005</v>
      </c>
      <c r="H32" s="928">
        <f t="shared" si="19"/>
        <v>107.04312399599996</v>
      </c>
      <c r="I32" s="928">
        <f>IF(IFERROR((G32-F32)/F32*100,"")&gt;500,"-",IFERROR((G32-F32)/F32*100,""))</f>
        <v>3.6365592708540451</v>
      </c>
      <c r="J32" s="929">
        <f t="shared" si="23"/>
        <v>5.2585158605098631E-2</v>
      </c>
      <c r="K32" s="24"/>
      <c r="L32" s="26"/>
      <c r="M32" s="26"/>
      <c r="N32" s="27"/>
      <c r="O32" s="27"/>
      <c r="P32" s="27"/>
      <c r="Q32" s="27"/>
      <c r="R32" s="27"/>
      <c r="S32" s="27"/>
    </row>
    <row r="33" spans="3:20" ht="15" customHeight="1">
      <c r="C33" s="932" t="str">
        <f>IF(Indice_index!$Z$1=1,"Segurança social","Social security")</f>
        <v>Segurança social</v>
      </c>
      <c r="D33" s="927">
        <v>4136.307025029997</v>
      </c>
      <c r="E33" s="927">
        <v>3842.9475910000001</v>
      </c>
      <c r="F33" s="927">
        <v>4136.307025029997</v>
      </c>
      <c r="G33" s="927">
        <v>4169.0447519400032</v>
      </c>
      <c r="H33" s="928">
        <f t="shared" si="19"/>
        <v>108.4856000041142</v>
      </c>
      <c r="I33" s="928">
        <f>IF(IFERROR((G33-F33)/F33*100,"")&gt;500,"-",IFERROR((G33-F33)/F33*100,""))</f>
        <v>0.7914723619862023</v>
      </c>
      <c r="J33" s="929">
        <f t="shared" si="23"/>
        <v>3.5405291639572206E-2</v>
      </c>
      <c r="K33" s="24"/>
      <c r="L33" s="26"/>
      <c r="M33" s="26"/>
      <c r="N33" s="27"/>
      <c r="O33" s="27"/>
      <c r="P33" s="27"/>
      <c r="Q33" s="27"/>
      <c r="R33" s="27"/>
      <c r="S33" s="27"/>
    </row>
    <row r="34" spans="3:20" ht="15" customHeight="1">
      <c r="C34" s="931" t="str">
        <f>IF(Indice_index!$Z$1=1,"Aquisição de bens e serviços","Purchase of goods and services")</f>
        <v>Aquisição de bens e serviços</v>
      </c>
      <c r="D34" s="927">
        <v>11472.973301580041</v>
      </c>
      <c r="E34" s="927">
        <v>12512.920374999998</v>
      </c>
      <c r="F34" s="927">
        <v>11472.973301580041</v>
      </c>
      <c r="G34" s="927">
        <v>12530.488403609981</v>
      </c>
      <c r="H34" s="928">
        <f t="shared" si="19"/>
        <v>100.14039910814971</v>
      </c>
      <c r="I34" s="928">
        <f t="shared" ref="I34:I40" si="24">IF(IFERROR((G34-F34)/F34*100,"")&gt;500,"-",IFERROR((G34-F34)/F34*100,""))</f>
        <v>9.2174458549842573</v>
      </c>
      <c r="J34" s="929">
        <f t="shared" si="23"/>
        <v>1.1436844929260535</v>
      </c>
      <c r="K34" s="24"/>
      <c r="L34" s="26"/>
      <c r="M34" s="27"/>
      <c r="N34" s="27"/>
      <c r="O34" s="27"/>
      <c r="P34" s="27"/>
      <c r="Q34" s="27"/>
      <c r="R34" s="27"/>
      <c r="S34" s="27"/>
    </row>
    <row r="35" spans="3:20" ht="15" customHeight="1">
      <c r="C35" s="931" t="str">
        <f>IF(Indice_index!$Z$1=1,"Juros e outros encargos","Interests and other charges")</f>
        <v>Juros e outros encargos</v>
      </c>
      <c r="D35" s="927">
        <v>6799.7249258299998</v>
      </c>
      <c r="E35" s="927">
        <v>6637.2324419999995</v>
      </c>
      <c r="F35" s="927">
        <v>6799.7249258299998</v>
      </c>
      <c r="G35" s="927">
        <v>6419.7688275900009</v>
      </c>
      <c r="H35" s="928">
        <f t="shared" si="19"/>
        <v>96.723579951277543</v>
      </c>
      <c r="I35" s="928">
        <f>IF(IFERROR((G35-F35)/F35*100,"")&gt;500,"-",IFERROR((G35-F35)/F35*100,""))</f>
        <v>-5.5878157187898312</v>
      </c>
      <c r="J35" s="929">
        <f t="shared" si="23"/>
        <v>-0.41091602069383232</v>
      </c>
      <c r="K35" s="24"/>
      <c r="L35" s="26"/>
      <c r="M35" s="27"/>
      <c r="N35" s="27"/>
      <c r="O35" s="27"/>
      <c r="P35" s="27"/>
      <c r="Q35" s="27"/>
      <c r="R35" s="27"/>
      <c r="S35" s="27"/>
    </row>
    <row r="36" spans="3:20" ht="15" customHeight="1">
      <c r="C36" s="931" t="str">
        <f>IF(Indice_index!$Z$1=1,"Transferências correntes","Current transfers")</f>
        <v>Transferências correntes</v>
      </c>
      <c r="D36" s="927">
        <f t="shared" ref="D36:E36" si="25">+D37+D38</f>
        <v>47104.764315169996</v>
      </c>
      <c r="E36" s="927">
        <f t="shared" si="25"/>
        <v>47484.979677999996</v>
      </c>
      <c r="F36" s="927">
        <f t="shared" ref="F36" si="26">+F37+F38</f>
        <v>47104.764315169996</v>
      </c>
      <c r="G36" s="927">
        <f t="shared" ref="G36" si="27">+G37+G38</f>
        <v>50672.178825219999</v>
      </c>
      <c r="H36" s="928">
        <f t="shared" si="19"/>
        <v>106.71201539693752</v>
      </c>
      <c r="I36" s="928">
        <f>IF(IFERROR((G36-F36)/F36*100,"")&gt;500,"-",IFERROR((G36-F36)/F36*100,""))</f>
        <v>7.5733624016904892</v>
      </c>
      <c r="J36" s="929">
        <f t="shared" si="23"/>
        <v>3.8580977682038546</v>
      </c>
      <c r="K36" s="24"/>
      <c r="L36" s="26"/>
      <c r="M36" s="27"/>
      <c r="N36" s="27"/>
      <c r="O36" s="27"/>
      <c r="P36" s="27"/>
      <c r="Q36" s="27"/>
      <c r="R36" s="27"/>
      <c r="S36" s="27"/>
    </row>
    <row r="37" spans="3:20" ht="15" customHeight="1">
      <c r="C37" s="932" t="str">
        <f>IF(Indice_index!$Z$1=1,"Administrações Públicas","General Government subsectors")</f>
        <v>Administrações Públicas</v>
      </c>
      <c r="D37" s="927">
        <v>4286.362799350004</v>
      </c>
      <c r="E37" s="927">
        <v>4733.3789689999994</v>
      </c>
      <c r="F37" s="927">
        <v>4286.362799350004</v>
      </c>
      <c r="G37" s="927">
        <v>4751.0098553300004</v>
      </c>
      <c r="H37" s="928">
        <f t="shared" si="19"/>
        <v>100.37247992280926</v>
      </c>
      <c r="I37" s="928">
        <f>IF(IFERROR((G37-F37)/F37*100,"")&gt;500,"-",IFERROR((G37-F37)/F37*100,""))</f>
        <v>10.840124313566195</v>
      </c>
      <c r="J37" s="929">
        <f t="shared" si="23"/>
        <v>0.50250784276083149</v>
      </c>
      <c r="K37" s="24"/>
      <c r="L37" s="26"/>
      <c r="M37" s="27"/>
      <c r="N37" s="27"/>
      <c r="O37" s="27"/>
      <c r="P37" s="27"/>
      <c r="Q37" s="27"/>
      <c r="R37" s="27"/>
      <c r="S37" s="27"/>
    </row>
    <row r="38" spans="3:20" ht="15" customHeight="1">
      <c r="C38" s="932" t="str">
        <f>IF(Indice_index!$Z$1=1,"Outras","Others")</f>
        <v>Outras</v>
      </c>
      <c r="D38" s="927">
        <v>42818.401515819991</v>
      </c>
      <c r="E38" s="927">
        <v>42751.600708999998</v>
      </c>
      <c r="F38" s="927">
        <v>42818.401515819991</v>
      </c>
      <c r="G38" s="927">
        <v>45921.168969890001</v>
      </c>
      <c r="H38" s="928">
        <f t="shared" si="19"/>
        <v>107.41391715941704</v>
      </c>
      <c r="I38" s="928">
        <f>IF(IFERROR((G38-F38)/F38*100,"")&gt;500,"-",IFERROR((G38-F38)/F38*100,""))</f>
        <v>7.2463411622772504</v>
      </c>
      <c r="J38" s="929">
        <f t="shared" si="23"/>
        <v>3.3555899254430268</v>
      </c>
      <c r="K38" s="24"/>
      <c r="L38" s="26"/>
      <c r="M38" s="27"/>
      <c r="N38" s="27"/>
      <c r="O38" s="27"/>
      <c r="P38" s="27"/>
      <c r="Q38" s="27"/>
      <c r="R38" s="27"/>
      <c r="S38" s="27"/>
    </row>
    <row r="39" spans="3:20" ht="15" customHeight="1">
      <c r="C39" s="931" t="str">
        <f>IF(Indice_index!$Z$1=1,"Subsídios","Subsidies")</f>
        <v>Subsídios</v>
      </c>
      <c r="D39" s="927">
        <v>1651.8126438400002</v>
      </c>
      <c r="E39" s="927">
        <v>1825.428872</v>
      </c>
      <c r="F39" s="927">
        <v>1651.8126438400002</v>
      </c>
      <c r="G39" s="927">
        <v>1526.3994610700001</v>
      </c>
      <c r="H39" s="928">
        <f t="shared" si="19"/>
        <v>83.618676382478085</v>
      </c>
      <c r="I39" s="928">
        <f>IF(IFERROR((G39-F39)/F39*100,"")&gt;500,"-",IFERROR((G39-F39)/F39*100,""))</f>
        <v>-7.5924580937006052</v>
      </c>
      <c r="J39" s="929">
        <f t="shared" si="23"/>
        <v>-0.13563221184002455</v>
      </c>
      <c r="K39" s="24"/>
      <c r="L39" s="26"/>
      <c r="M39" s="26"/>
      <c r="N39" s="27"/>
      <c r="O39" s="27"/>
      <c r="P39" s="27"/>
      <c r="Q39" s="27"/>
      <c r="R39" s="27"/>
      <c r="S39" s="27"/>
    </row>
    <row r="40" spans="3:20" ht="15" customHeight="1">
      <c r="C40" s="931" t="str">
        <f>IF(Indice_index!$Z$1=1,"Outras despesas correntes","Other current expenditure")</f>
        <v>Outras despesas correntes</v>
      </c>
      <c r="D40" s="927">
        <v>647.6559153999998</v>
      </c>
      <c r="E40" s="927">
        <v>2306.5234060000003</v>
      </c>
      <c r="F40" s="927">
        <v>647.6559153999998</v>
      </c>
      <c r="G40" s="927">
        <v>973.70938206999938</v>
      </c>
      <c r="H40" s="928">
        <f t="shared" si="19"/>
        <v>42.215456367668843</v>
      </c>
      <c r="I40" s="928">
        <f t="shared" si="24"/>
        <v>50.343625205465038</v>
      </c>
      <c r="J40" s="929">
        <f t="shared" si="23"/>
        <v>0.35262124671265727</v>
      </c>
      <c r="K40" s="24"/>
      <c r="L40" s="26"/>
      <c r="M40" s="27"/>
      <c r="N40" s="27"/>
      <c r="O40" s="27"/>
      <c r="P40" s="27"/>
      <c r="Q40" s="27"/>
      <c r="R40" s="27"/>
      <c r="S40" s="27"/>
    </row>
    <row r="41" spans="3:20" ht="15" customHeight="1">
      <c r="C41" s="931" t="str">
        <f>IF(Indice_index!$Z$1=1,"Diferenças de consolidação","Consolidation differences")</f>
        <v>Diferenças de consolidação</v>
      </c>
      <c r="D41" s="927">
        <v>213.47584277999948</v>
      </c>
      <c r="E41" s="927">
        <v>146.85127999999906</v>
      </c>
      <c r="F41" s="927">
        <v>213.47584277999948</v>
      </c>
      <c r="G41" s="927">
        <v>38.926776739999774</v>
      </c>
      <c r="H41" s="928"/>
      <c r="I41" s="929"/>
      <c r="J41" s="929"/>
      <c r="K41" s="24"/>
      <c r="L41" s="26"/>
      <c r="M41" s="27"/>
      <c r="N41" s="27"/>
      <c r="O41" s="27"/>
      <c r="P41" s="27"/>
      <c r="Q41" s="27"/>
      <c r="R41" s="27"/>
      <c r="S41" s="27"/>
    </row>
    <row r="42" spans="3:20" s="259" customFormat="1" ht="15" customHeight="1">
      <c r="C42" s="923" t="str">
        <f>IF(Indice_index!$Z$1=1,"Despesa de capital","Capital expenditure")</f>
        <v>Despesa de capital</v>
      </c>
      <c r="D42" s="923">
        <f t="shared" ref="D42:E42" si="28">+D43+D44+D47+D48</f>
        <v>5568.2323646999976</v>
      </c>
      <c r="E42" s="923">
        <f t="shared" si="28"/>
        <v>8321.1764980000007</v>
      </c>
      <c r="F42" s="923">
        <f t="shared" ref="F42" si="29">+F43+F44+F47+F48</f>
        <v>5568.2323646999976</v>
      </c>
      <c r="G42" s="923">
        <f t="shared" ref="G42" si="30">+G43+G44+G47+G48</f>
        <v>5952.3024832700021</v>
      </c>
      <c r="H42" s="924">
        <f t="shared" si="19"/>
        <v>71.531982102538521</v>
      </c>
      <c r="I42" s="924">
        <f>IF(IFERROR((G42-F42)/F42*100,"")&gt;500,"-",IFERROR((G42-F42)/F42*100,""))</f>
        <v>6.8975231889536497</v>
      </c>
      <c r="J42" s="925">
        <f t="shared" ref="J42:J47" si="31">IFERROR((G42-F42)/$F$50*100,"")</f>
        <v>0.41536526330604484</v>
      </c>
      <c r="K42" s="261"/>
      <c r="L42" s="262"/>
      <c r="M42" s="263"/>
      <c r="N42" s="263"/>
      <c r="O42" s="263"/>
      <c r="P42" s="263"/>
      <c r="Q42" s="263"/>
      <c r="R42" s="263"/>
      <c r="S42" s="263"/>
      <c r="T42" s="261"/>
    </row>
    <row r="43" spans="3:20" ht="15" customHeight="1">
      <c r="C43" s="931" t="str">
        <f>IF(Indice_index!$Z$1=1,"Investimento","Investments")</f>
        <v>Investimento</v>
      </c>
      <c r="D43" s="927">
        <v>3462.5933778499971</v>
      </c>
      <c r="E43" s="927">
        <v>5891.1099839999997</v>
      </c>
      <c r="F43" s="927">
        <v>3462.5933778499971</v>
      </c>
      <c r="G43" s="927">
        <v>3918.3720326400021</v>
      </c>
      <c r="H43" s="928">
        <f t="shared" si="19"/>
        <v>66.513306376593391</v>
      </c>
      <c r="I43" s="928">
        <f>IF(IFERROR((G43-F43)/F43*100,"")&gt;500,"-",IFERROR((G43-F43)/F43*100,""))</f>
        <v>13.162927466609098</v>
      </c>
      <c r="J43" s="929">
        <f t="shared" si="31"/>
        <v>0.49291681857728004</v>
      </c>
      <c r="K43" s="24"/>
      <c r="L43" s="26"/>
      <c r="M43" s="26"/>
      <c r="N43" s="27"/>
      <c r="O43" s="27"/>
      <c r="P43" s="27"/>
      <c r="Q43" s="27"/>
      <c r="R43" s="27"/>
      <c r="S43" s="27"/>
    </row>
    <row r="44" spans="3:20" s="28" customFormat="1" ht="15" customHeight="1">
      <c r="C44" s="931" t="str">
        <f>IF(Indice_index!$Z$1=1,"Transferências de capital","Capital transfers")</f>
        <v>Transferências de capital</v>
      </c>
      <c r="D44" s="927">
        <f t="shared" ref="D44:E44" si="32">+D45+D46</f>
        <v>1904.0961641900003</v>
      </c>
      <c r="E44" s="927">
        <f t="shared" si="32"/>
        <v>2191.1810970000001</v>
      </c>
      <c r="F44" s="927">
        <f t="shared" ref="F44" si="33">+F45+F46</f>
        <v>1904.0961641900003</v>
      </c>
      <c r="G44" s="927">
        <f t="shared" ref="G44" si="34">+G45+G46</f>
        <v>1645.3933418399999</v>
      </c>
      <c r="H44" s="928">
        <f t="shared" si="19"/>
        <v>75.091618127444974</v>
      </c>
      <c r="I44" s="928">
        <f>IF(IFERROR((G44-F44)/F44*100,"")&gt;500,"-",IFERROR((G44-F44)/F44*100,""))</f>
        <v>-13.58664689396358</v>
      </c>
      <c r="J44" s="929">
        <f t="shared" si="31"/>
        <v>-0.27978267698490267</v>
      </c>
      <c r="K44" s="24"/>
      <c r="L44" s="26"/>
      <c r="M44" s="27"/>
      <c r="N44" s="27"/>
      <c r="O44" s="27"/>
      <c r="P44" s="27"/>
      <c r="Q44" s="27"/>
      <c r="R44" s="27"/>
      <c r="S44" s="27"/>
      <c r="T44" s="24"/>
    </row>
    <row r="45" spans="3:20" ht="15" customHeight="1">
      <c r="C45" s="932" t="str">
        <f>IF(Indice_index!$Z$1=1,"Administrações Públicas","General Government subsectors")</f>
        <v>Administrações Públicas</v>
      </c>
      <c r="D45" s="927">
        <v>607.42973998000014</v>
      </c>
      <c r="E45" s="927">
        <v>638.36872000000005</v>
      </c>
      <c r="F45" s="927">
        <v>607.42973998000014</v>
      </c>
      <c r="G45" s="927">
        <v>517.96871147999991</v>
      </c>
      <c r="H45" s="928">
        <f t="shared" si="19"/>
        <v>81.139425421721768</v>
      </c>
      <c r="I45" s="928">
        <f>IF(IFERROR((G45-F45)/F45*100,"")&gt;500,"-",IFERROR((G45-F45)/F45*100,""))</f>
        <v>-14.727798560364491</v>
      </c>
      <c r="J45" s="929">
        <f t="shared" si="31"/>
        <v>-9.6750571996814166E-2</v>
      </c>
      <c r="K45" s="24"/>
      <c r="L45" s="26"/>
      <c r="M45" s="27"/>
      <c r="N45" s="27"/>
      <c r="O45" s="27"/>
      <c r="P45" s="27"/>
      <c r="Q45" s="27"/>
      <c r="R45" s="27"/>
      <c r="S45" s="27"/>
    </row>
    <row r="46" spans="3:20" ht="15" customHeight="1">
      <c r="C46" s="932" t="str">
        <f>IF(Indice_index!$Z$1=1,"Outras","Others")</f>
        <v>Outras</v>
      </c>
      <c r="D46" s="927">
        <v>1296.6664242100001</v>
      </c>
      <c r="E46" s="927">
        <v>1552.8123770000002</v>
      </c>
      <c r="F46" s="927">
        <v>1296.6664242100001</v>
      </c>
      <c r="G46" s="927">
        <v>1127.42463036</v>
      </c>
      <c r="H46" s="928">
        <f t="shared" si="19"/>
        <v>72.605335136377519</v>
      </c>
      <c r="I46" s="928">
        <f t="shared" ref="I46" si="35">IF(IFERROR((G46-F46)/F46*100,"")&gt;500,"-",IFERROR((G46-F46)/F46*100,""))</f>
        <v>-13.052068804288764</v>
      </c>
      <c r="J46" s="929">
        <f t="shared" si="31"/>
        <v>-0.18303210498808836</v>
      </c>
      <c r="K46" s="24"/>
      <c r="L46" s="26"/>
      <c r="M46" s="27"/>
      <c r="N46" s="27"/>
      <c r="O46" s="27"/>
      <c r="P46" s="27"/>
      <c r="Q46" s="27"/>
      <c r="R46" s="27"/>
      <c r="S46" s="27"/>
    </row>
    <row r="47" spans="3:20" ht="15" customHeight="1">
      <c r="C47" s="931" t="str">
        <f>IF(Indice_index!$Z$1=1,"Outras despesas de capital","Other capital expenditure")</f>
        <v>Outras despesas de capital</v>
      </c>
      <c r="D47" s="927">
        <v>149.79872605000003</v>
      </c>
      <c r="E47" s="927">
        <v>236.364294</v>
      </c>
      <c r="F47" s="927">
        <v>149.79872605000003</v>
      </c>
      <c r="G47" s="927">
        <v>329.72275674999997</v>
      </c>
      <c r="H47" s="928">
        <f t="shared" si="19"/>
        <v>139.49770126870348</v>
      </c>
      <c r="I47" s="928">
        <f>IF(IFERROR((G47-F47)/F47*100,"")&gt;500,"-",IFERROR((G47-F47)/F47*100,""))</f>
        <v>120.11052126033745</v>
      </c>
      <c r="J47" s="929">
        <f t="shared" si="31"/>
        <v>0.19458476141035314</v>
      </c>
      <c r="K47" s="24"/>
      <c r="L47" s="26"/>
      <c r="M47" s="26"/>
      <c r="N47" s="27"/>
      <c r="O47" s="27"/>
      <c r="P47" s="27"/>
      <c r="Q47" s="27"/>
      <c r="R47" s="27"/>
      <c r="S47" s="27"/>
    </row>
    <row r="48" spans="3:20" ht="15" customHeight="1">
      <c r="C48" s="931" t="str">
        <f>IF(Indice_index!$Z$1=1,"Diferenças de consolidação","Consolidation differences")</f>
        <v>Diferenças de consolidação</v>
      </c>
      <c r="D48" s="927">
        <v>51.744096609999815</v>
      </c>
      <c r="E48" s="927">
        <v>2.5211229999999887</v>
      </c>
      <c r="F48" s="927">
        <v>51.744096609999815</v>
      </c>
      <c r="G48" s="927">
        <v>58.814352039999825</v>
      </c>
      <c r="H48" s="929"/>
      <c r="I48" s="929"/>
      <c r="J48" s="929"/>
      <c r="K48" s="24"/>
      <c r="L48" s="26"/>
      <c r="M48" s="27"/>
      <c r="N48" s="27"/>
      <c r="O48" s="27"/>
      <c r="P48" s="27"/>
      <c r="Q48" s="27"/>
      <c r="R48" s="27"/>
      <c r="S48" s="27"/>
    </row>
    <row r="49" spans="3:20" ht="2.4500000000000002" customHeight="1">
      <c r="C49" s="927"/>
      <c r="D49" s="927"/>
      <c r="E49" s="927"/>
      <c r="F49" s="927"/>
      <c r="G49" s="927"/>
      <c r="H49" s="929"/>
      <c r="I49" s="929"/>
      <c r="J49" s="929"/>
      <c r="K49" s="24"/>
      <c r="L49" s="26"/>
      <c r="M49" s="27"/>
      <c r="N49" s="27"/>
      <c r="O49" s="27"/>
      <c r="P49" s="27"/>
      <c r="Q49" s="27"/>
      <c r="R49" s="27"/>
      <c r="S49" s="27"/>
    </row>
    <row r="50" spans="3:20" s="259" customFormat="1" ht="15" customHeight="1">
      <c r="C50" s="937" t="str">
        <f>IF(Indice_index!$Z$1=1,"Despesa efetiva","Effective Expenditure")</f>
        <v>Despesa efetiva</v>
      </c>
      <c r="D50" s="937">
        <f t="shared" ref="D50:E50" si="36">+D29+D42</f>
        <v>92465.632661010037</v>
      </c>
      <c r="E50" s="937">
        <f t="shared" si="36"/>
        <v>98515.79797900001</v>
      </c>
      <c r="F50" s="937">
        <f t="shared" ref="F50" si="37">+F29+F42</f>
        <v>92465.632661010037</v>
      </c>
      <c r="G50" s="937">
        <f t="shared" ref="G50" si="38">+G29+G42</f>
        <v>97421.221300279984</v>
      </c>
      <c r="H50" s="938">
        <f>IFERROR(IF(G50/E50*100&lt;-500,"-",IF(G50/E50*100&gt;500,"-",G50/E50*100)),"-")</f>
        <v>98.888932840037143</v>
      </c>
      <c r="I50" s="938">
        <f t="shared" ref="I50" si="39">IF(IFERROR((G50-F50)/F50*100,"")&gt;500,"-",IFERROR((G50-F50)/F50*100,""))</f>
        <v>5.3593843427619445</v>
      </c>
      <c r="J50" s="939"/>
      <c r="K50" s="261"/>
      <c r="L50" s="262"/>
      <c r="M50" s="263"/>
      <c r="N50" s="263"/>
      <c r="O50" s="263"/>
      <c r="P50" s="263"/>
      <c r="Q50" s="263"/>
      <c r="R50" s="263"/>
      <c r="S50" s="263"/>
      <c r="T50" s="261"/>
    </row>
    <row r="51" spans="3:20" ht="8.25" customHeight="1">
      <c r="C51" s="921"/>
      <c r="D51" s="921"/>
      <c r="E51" s="921"/>
      <c r="F51" s="33"/>
      <c r="G51" s="921"/>
      <c r="H51" s="940"/>
      <c r="I51" s="940"/>
      <c r="J51" s="941"/>
      <c r="K51" s="29"/>
      <c r="L51" s="26"/>
      <c r="M51" s="27"/>
      <c r="N51" s="27"/>
      <c r="O51" s="27"/>
      <c r="P51" s="27"/>
      <c r="Q51" s="27"/>
      <c r="R51" s="27"/>
      <c r="S51" s="27"/>
    </row>
    <row r="52" spans="3:20" s="259" customFormat="1" ht="15" customHeight="1">
      <c r="C52" s="942" t="str">
        <f>IF(Indice_index!$Z$1=1,"Saldo global","Overall balance")</f>
        <v>Saldo global</v>
      </c>
      <c r="D52" s="942">
        <f t="shared" ref="D52:E52" si="40">+D27-D50</f>
        <v>-8294.4546959600557</v>
      </c>
      <c r="E52" s="942">
        <f t="shared" si="40"/>
        <v>-5173.5716730011918</v>
      </c>
      <c r="F52" s="942">
        <f t="shared" ref="F52" si="41">+F27-F50</f>
        <v>-8294.4546959600557</v>
      </c>
      <c r="G52" s="942">
        <f t="shared" ref="G52" si="42">+G27-G50</f>
        <v>-3730.0522999899986</v>
      </c>
      <c r="H52" s="943"/>
      <c r="I52" s="943"/>
      <c r="J52" s="943"/>
      <c r="L52" s="265"/>
      <c r="M52" s="265"/>
      <c r="N52" s="263"/>
      <c r="O52" s="263"/>
      <c r="P52" s="263"/>
      <c r="Q52" s="263"/>
      <c r="R52" s="263"/>
      <c r="S52" s="263"/>
      <c r="T52" s="261"/>
    </row>
    <row r="53" spans="3:20" ht="5.0999999999999996" customHeight="1">
      <c r="C53" s="944"/>
      <c r="D53" s="944"/>
      <c r="E53" s="944"/>
      <c r="F53" s="922"/>
      <c r="G53" s="927"/>
      <c r="H53" s="941"/>
      <c r="I53" s="941"/>
      <c r="J53" s="941"/>
      <c r="L53" s="26"/>
      <c r="M53" s="27"/>
      <c r="N53" s="27"/>
      <c r="O53" s="27"/>
      <c r="P53" s="27"/>
      <c r="Q53" s="27"/>
      <c r="R53" s="27"/>
      <c r="S53" s="27"/>
    </row>
    <row r="54" spans="3:20" ht="15" customHeight="1">
      <c r="C54" s="931" t="str">
        <f>IF(Indice_index!$Z$1=1,"Despesa primária","Primary expenditure")</f>
        <v>Despesa primária</v>
      </c>
      <c r="D54" s="945">
        <f>+D50-D35</f>
        <v>85665.907735180037</v>
      </c>
      <c r="E54" s="945">
        <f>+E50-E35</f>
        <v>91878.565537000017</v>
      </c>
      <c r="F54" s="945">
        <f>+F50-F35</f>
        <v>85665.907735180037</v>
      </c>
      <c r="G54" s="945">
        <f>+G50-G35</f>
        <v>91001.452472689984</v>
      </c>
      <c r="H54" s="928">
        <f>IFERROR(IF(G54/E54*100&lt;-500,"-",IF(G54/E54*100&gt;500,"-",G54/E54*100)),"-")</f>
        <v>99.045356162034537</v>
      </c>
      <c r="I54" s="928">
        <f t="shared" ref="I54" si="43">IF(IFERROR((G54-F54)/F54*100,"")&gt;500,"-",IFERROR((G54-F54)/F54*100,""))</f>
        <v>6.2283175169330773</v>
      </c>
      <c r="J54" s="928">
        <f t="shared" ref="J54" si="44">IFERROR((G54-F54)/$F$50*100,"")</f>
        <v>5.7703003634557781</v>
      </c>
      <c r="K54" s="30"/>
      <c r="L54" s="30"/>
      <c r="M54" s="30"/>
      <c r="N54" s="27"/>
      <c r="O54" s="27"/>
      <c r="P54" s="27"/>
      <c r="Q54" s="27"/>
      <c r="R54" s="27"/>
      <c r="S54" s="27"/>
    </row>
    <row r="55" spans="3:20" ht="15" customHeight="1">
      <c r="C55" s="931" t="str">
        <f>IF(Indice_index!$Z$1=1,"Saldo corrente","Current balance")</f>
        <v>Saldo corrente</v>
      </c>
      <c r="D55" s="945">
        <f>+D9-D29</f>
        <v>-3941.2914915800502</v>
      </c>
      <c r="E55" s="945">
        <f>+E9-E29</f>
        <v>-524.89409800119756</v>
      </c>
      <c r="F55" s="945">
        <f>+F9-F29</f>
        <v>-3941.2914915800502</v>
      </c>
      <c r="G55" s="945">
        <f>+G9-G29</f>
        <v>653.09401998000976</v>
      </c>
      <c r="H55" s="945"/>
      <c r="I55" s="945"/>
      <c r="J55" s="945"/>
      <c r="L55" s="30"/>
      <c r="M55" s="27"/>
      <c r="N55" s="27"/>
      <c r="O55" s="27"/>
      <c r="P55" s="27"/>
      <c r="Q55" s="27"/>
      <c r="R55" s="24"/>
    </row>
    <row r="56" spans="3:20" ht="15" customHeight="1">
      <c r="C56" s="931" t="str">
        <f>IF(Indice_index!$Z$1=1,"Saldo de capital","Capital balance")</f>
        <v>Saldo de capital</v>
      </c>
      <c r="D56" s="945">
        <f t="shared" ref="D56:E56" si="45">+D19-D42</f>
        <v>-4353.1632043799973</v>
      </c>
      <c r="E56" s="945">
        <f t="shared" si="45"/>
        <v>-4648.6775750000006</v>
      </c>
      <c r="F56" s="945">
        <f t="shared" ref="F56" si="46">+F19-F42</f>
        <v>-4353.1632043799973</v>
      </c>
      <c r="G56" s="945">
        <f t="shared" ref="G56" si="47">+G19-G42</f>
        <v>-4383.146319970002</v>
      </c>
      <c r="H56" s="945"/>
      <c r="I56" s="945"/>
      <c r="J56" s="945"/>
      <c r="L56" s="30"/>
      <c r="M56" s="27"/>
      <c r="N56" s="27"/>
      <c r="O56" s="27"/>
      <c r="P56" s="27"/>
      <c r="Q56" s="27"/>
      <c r="R56" s="24"/>
    </row>
    <row r="57" spans="3:20" ht="15" customHeight="1">
      <c r="C57" s="946" t="str">
        <f>IF(Indice_index!$Z$1=1,"Saldo primário","Primary balance")</f>
        <v>Saldo primário</v>
      </c>
      <c r="D57" s="947">
        <f t="shared" ref="D57:E57" si="48">+D52+D35</f>
        <v>-1494.7297701300558</v>
      </c>
      <c r="E57" s="947">
        <f t="shared" si="48"/>
        <v>1463.6607689988077</v>
      </c>
      <c r="F57" s="947">
        <f t="shared" ref="F57" si="49">+F52+F35</f>
        <v>-1494.7297701300558</v>
      </c>
      <c r="G57" s="947">
        <f t="shared" ref="G57" si="50">+G52+G35</f>
        <v>2689.7165276000023</v>
      </c>
      <c r="H57" s="947"/>
      <c r="I57" s="947"/>
      <c r="J57" s="947"/>
      <c r="L57" s="30"/>
      <c r="M57" s="27"/>
      <c r="N57" s="27"/>
      <c r="O57" s="27"/>
      <c r="P57" s="27"/>
      <c r="Q57" s="27"/>
      <c r="R57" s="24"/>
    </row>
    <row r="58" spans="3:20" ht="15" customHeight="1">
      <c r="C58" s="948" t="str">
        <f>IF(Indice_index!$Z$1=1,"Ativos financeiros líquidos de reembolsos","Financial assets net of reimbursements")</f>
        <v>Ativos financeiros líquidos de reembolsos</v>
      </c>
      <c r="D58" s="949">
        <v>872.45677738999893</v>
      </c>
      <c r="E58" s="949">
        <v>3912.9654800000026</v>
      </c>
      <c r="F58" s="949">
        <v>872.45677738999893</v>
      </c>
      <c r="G58" s="917">
        <v>894.52206312999726</v>
      </c>
      <c r="H58" s="949"/>
      <c r="I58" s="949"/>
      <c r="J58" s="949"/>
      <c r="L58" s="22"/>
      <c r="M58" s="26"/>
      <c r="N58" s="27"/>
      <c r="O58" s="26"/>
      <c r="P58" s="27"/>
      <c r="Q58" s="27"/>
      <c r="R58" s="24"/>
    </row>
    <row r="59" spans="3:20" ht="15" customHeight="1">
      <c r="C59" s="950" t="str">
        <f>IF(Indice_index!$Z$1=1,"dos quais Receitas de:","of which revenue from:")</f>
        <v>dos quais Receitas de:</v>
      </c>
      <c r="D59" s="950"/>
      <c r="E59" s="950"/>
      <c r="F59" s="945"/>
      <c r="G59" s="927"/>
      <c r="H59" s="945"/>
      <c r="I59" s="945"/>
      <c r="J59" s="945"/>
      <c r="L59" s="22"/>
      <c r="M59" s="26"/>
      <c r="N59" s="27"/>
      <c r="O59" s="26"/>
      <c r="P59" s="27"/>
      <c r="Q59" s="27"/>
      <c r="R59" s="24"/>
    </row>
    <row r="60" spans="3:20" ht="15" customHeight="1">
      <c r="C60" s="932" t="str">
        <f>IF(Indice_index!$Z$1=1,"Alienação de partes de Capital","Disposal of Capital Shares")</f>
        <v>Alienação de partes de Capital</v>
      </c>
      <c r="D60" s="945">
        <v>1.3794E-4</v>
      </c>
      <c r="E60" s="945">
        <v>0</v>
      </c>
      <c r="F60" s="945">
        <v>1.3794E-4</v>
      </c>
      <c r="G60" s="945">
        <v>0</v>
      </c>
      <c r="H60" s="945"/>
      <c r="I60" s="945"/>
      <c r="J60" s="945"/>
      <c r="L60" s="22"/>
      <c r="M60" s="26"/>
      <c r="N60" s="27"/>
      <c r="O60" s="27"/>
      <c r="P60" s="27"/>
      <c r="Q60" s="27"/>
      <c r="R60" s="24"/>
    </row>
    <row r="61" spans="3:20" ht="15" customHeight="1">
      <c r="C61" s="946" t="str">
        <f>IF(Indice_index!$Z$1=1,"Passivos financeiros líquidos de amortizações","Financial liabilities net of amortizations")</f>
        <v>Passivos financeiros líquidos de amortizações</v>
      </c>
      <c r="D61" s="947">
        <v>4116.4405282400039</v>
      </c>
      <c r="E61" s="947">
        <v>10946.541616999981</v>
      </c>
      <c r="F61" s="947">
        <v>4116.4405282400039</v>
      </c>
      <c r="G61" s="919">
        <v>3297.0060114600069</v>
      </c>
      <c r="H61" s="947"/>
      <c r="I61" s="947"/>
      <c r="J61" s="947"/>
      <c r="L61" s="22"/>
      <c r="M61" s="26"/>
      <c r="N61" s="27"/>
      <c r="O61" s="27"/>
      <c r="P61" s="27"/>
      <c r="Q61" s="27"/>
      <c r="R61" s="24"/>
    </row>
    <row r="62" spans="3:20" ht="4.5" customHeight="1">
      <c r="L62" s="30"/>
      <c r="M62" s="26"/>
      <c r="N62" s="27"/>
      <c r="O62" s="27"/>
      <c r="P62" s="27"/>
    </row>
    <row r="63" spans="3:20" ht="15" customHeight="1">
      <c r="C63" s="951" t="str">
        <f>IF(Indice_index!$Z$1=1,"Nota:","Note:")</f>
        <v>Nota:</v>
      </c>
      <c r="D63" s="62"/>
      <c r="E63" s="62"/>
      <c r="F63" s="53"/>
      <c r="G63" s="53"/>
      <c r="H63" s="53"/>
      <c r="I63" s="53"/>
      <c r="J63" s="53"/>
      <c r="L63" s="30"/>
      <c r="M63" s="26"/>
      <c r="N63" s="27"/>
      <c r="O63" s="27"/>
      <c r="P63" s="27"/>
    </row>
    <row r="64" spans="3:20" ht="15" customHeight="1">
      <c r="C64" s="1716" t="str">
        <f>IF(Indice_index!$Z$1=1,"Os dados da execução acumulada de 2021 correspondem aos valores publicados na Conta Geral do Estado.","2021 accumulated execution was updated with the final execution.")</f>
        <v>Os dados da execução acumulada de 2021 correspondem aos valores publicados na Conta Geral do Estado.</v>
      </c>
      <c r="D64" s="1716"/>
      <c r="E64" s="1716"/>
      <c r="F64" s="1716"/>
      <c r="G64" s="1716"/>
      <c r="H64" s="1716"/>
      <c r="I64" s="1716"/>
      <c r="J64" s="1716"/>
      <c r="K64" s="62"/>
      <c r="L64" s="22"/>
      <c r="R64" s="24"/>
      <c r="T64" s="22"/>
    </row>
    <row r="65" spans="3:11" ht="15" customHeight="1">
      <c r="C65" s="952" t="str">
        <f>IF(Indice_index!$Z$1=1,"Fonte: Direção-Geral do Orçamento","Source: Budget General Directorate")</f>
        <v>Fonte: Direção-Geral do Orçamento</v>
      </c>
      <c r="D65" s="952"/>
      <c r="E65" s="952"/>
      <c r="F65" s="24"/>
      <c r="G65" s="653"/>
      <c r="J65" s="921"/>
    </row>
    <row r="66" spans="3:11">
      <c r="F66" s="654"/>
      <c r="G66" s="653"/>
      <c r="J66" s="24"/>
    </row>
    <row r="67" spans="3:11" ht="12.75">
      <c r="C67" s="327"/>
      <c r="D67" s="327"/>
      <c r="E67" s="327"/>
      <c r="F67" s="31"/>
      <c r="G67" s="31"/>
      <c r="J67" s="24"/>
      <c r="K67" s="32"/>
    </row>
    <row r="68" spans="3:11" ht="12.75">
      <c r="C68" s="33"/>
      <c r="D68" s="33"/>
      <c r="E68" s="33"/>
      <c r="F68" s="34"/>
      <c r="G68" s="34"/>
      <c r="I68" s="32"/>
      <c r="J68" s="24"/>
      <c r="K68" s="32"/>
    </row>
    <row r="69" spans="3:11" ht="12.75">
      <c r="C69" s="33"/>
      <c r="D69" s="33"/>
      <c r="E69" s="33"/>
      <c r="F69" s="27"/>
      <c r="G69" s="27"/>
      <c r="H69" s="32"/>
      <c r="I69" s="32"/>
      <c r="J69" s="27"/>
    </row>
    <row r="70" spans="3:11" ht="12.75">
      <c r="C70" s="33"/>
      <c r="D70" s="33"/>
      <c r="E70" s="33"/>
      <c r="F70" s="29"/>
      <c r="G70" s="35"/>
      <c r="H70" s="32"/>
      <c r="I70" s="32"/>
      <c r="J70" s="27"/>
    </row>
    <row r="71" spans="3:11" ht="12.75">
      <c r="C71" s="33"/>
      <c r="D71" s="33"/>
      <c r="E71" s="33"/>
      <c r="F71" s="27"/>
      <c r="G71" s="27"/>
      <c r="H71" s="32"/>
      <c r="I71" s="32"/>
      <c r="J71" s="27"/>
    </row>
    <row r="72" spans="3:11" ht="12.75">
      <c r="C72" s="33"/>
      <c r="D72" s="33"/>
      <c r="E72" s="33"/>
      <c r="F72" s="27"/>
      <c r="G72" s="36"/>
      <c r="H72" s="32"/>
      <c r="I72" s="37"/>
      <c r="J72" s="27"/>
    </row>
    <row r="73" spans="3:11" ht="12.75">
      <c r="C73" s="33"/>
      <c r="D73" s="33"/>
      <c r="E73" s="33"/>
      <c r="F73" s="38"/>
      <c r="G73" s="38"/>
      <c r="H73" s="37"/>
      <c r="I73" s="38"/>
      <c r="J73" s="39"/>
    </row>
    <row r="74" spans="3:11" ht="12.75">
      <c r="C74" s="33"/>
      <c r="D74" s="33"/>
      <c r="E74" s="33"/>
      <c r="F74" s="38"/>
      <c r="G74" s="26"/>
      <c r="H74" s="37"/>
      <c r="I74" s="33"/>
      <c r="J74" s="26"/>
    </row>
    <row r="75" spans="3:11" ht="12.75">
      <c r="F75" s="40"/>
      <c r="G75" s="40"/>
      <c r="H75" s="38"/>
    </row>
    <row r="76" spans="3:11" ht="12.75">
      <c r="F76" s="40"/>
      <c r="H76" s="38"/>
    </row>
    <row r="77" spans="3:11" ht="12.75">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8 F65:G1048576 D49:E57 D44:E44 D42:E42 D36:E36 D28:G28 D21:E21 D19:E19 D14:E14 F62:G63 H50 A1:D4 A5:C5 D5 E9:E10 G9:G10 D26:E27 G26:G27 G21 G19 G14 G49:G57 G44 G42 G36 D29:E30 G29:G30"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66</Ano>
    <Ordem xmlns="0765058e-95b3-4ff3-80c4-5ff3bc59ec36">3</Ordem>
    <Mes xmlns="23bc334f-0e17-402a-872b-0123af4c73a8">1</Mes>
    <_dlc_DocId xmlns="23bc334f-0e17-402a-872b-0123af4c73a8">X4XX2SRTQWXX-37-1751</_dlc_DocId>
    <_dlc_DocIdUrl xmlns="23bc334f-0e17-402a-872b-0123af4c73a8">
      <Url>https://www.dgo.gov.pt/execucaoorcamental/_layouts/15/DocIdRedir.aspx?ID=X4XX2SRTQWXX-37-1751</Url>
      <Description>X4XX2SRTQWXX-37-1751</Description>
    </_dlc_DocIdUrl>
  </documentManagement>
</p:properties>
</file>

<file path=customXml/itemProps1.xml><?xml version="1.0" encoding="utf-8"?>
<ds:datastoreItem xmlns:ds="http://schemas.openxmlformats.org/officeDocument/2006/customXml" ds:itemID="{69ED7107-D2F2-4983-BBC0-0D571CCA5D1B}"/>
</file>

<file path=customXml/itemProps2.xml><?xml version="1.0" encoding="utf-8"?>
<ds:datastoreItem xmlns:ds="http://schemas.openxmlformats.org/officeDocument/2006/customXml" ds:itemID="{62AED209-E82A-466B-B358-5FCEF422949C}"/>
</file>

<file path=customXml/itemProps3.xml><?xml version="1.0" encoding="utf-8"?>
<ds:datastoreItem xmlns:ds="http://schemas.openxmlformats.org/officeDocument/2006/customXml" ds:itemID="{3CABDE56-1A05-4F79-AEC5-396AA8AE7BF1}"/>
</file>

<file path=customXml/itemProps4.xml><?xml version="1.0" encoding="utf-8"?>
<ds:datastoreItem xmlns:ds="http://schemas.openxmlformats.org/officeDocument/2006/customXml" ds:itemID="{CD4B7300-CF2C-41DF-9C9D-9BA2D49BFF4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PT</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'23 -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PT'!Print_Area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'23 -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DGO</cp:lastModifiedBy>
  <cp:lastPrinted>2023-01-27T12:17:07Z</cp:lastPrinted>
  <dcterms:created xsi:type="dcterms:W3CDTF">2018-09-13T17:26:24Z</dcterms:created>
  <dcterms:modified xsi:type="dcterms:W3CDTF">2023-01-27T20:56:40Z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b01dd4f6-de0e-4aad-8a72-b50b78deed7a</vt:lpwstr>
  </property>
</Properties>
</file>